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nassa\Box Sync\ut-documents\OFFSHORE_courses\offshore17\"/>
    </mc:Choice>
  </mc:AlternateContent>
  <bookViews>
    <workbookView xWindow="240" yWindow="150" windowWidth="13095" windowHeight="6765"/>
  </bookViews>
  <sheets>
    <sheet name="Sheet1" sheetId="2" r:id="rId1"/>
    <sheet name="Sheet2" sheetId="1" r:id="rId2"/>
  </sheets>
  <definedNames>
    <definedName name="a_1">Sheet1!$E$22</definedName>
    <definedName name="A_11">Sheet1!$E$13</definedName>
    <definedName name="a_2">Sheet1!$E$23</definedName>
    <definedName name="A_22">Sheet1!$E$14</definedName>
    <definedName name="a_3">Sheet1!$E$24</definedName>
    <definedName name="A_31">Sheet1!$E$15</definedName>
    <definedName name="A_33">Sheet1!$E$16</definedName>
    <definedName name="a_4">Sheet1!$E$25</definedName>
    <definedName name="A_42">Sheet1!$E$17</definedName>
    <definedName name="A_44">Sheet1!$E$18</definedName>
    <definedName name="a_5">Sheet1!$E$26</definedName>
    <definedName name="A_51">Sheet1!$E$19</definedName>
    <definedName name="A_53">Sheet1!$E$20</definedName>
    <definedName name="A_55">Sheet1!$E$21</definedName>
    <definedName name="b_1">Sheet1!$E$34</definedName>
    <definedName name="b_2">Sheet1!$E$35</definedName>
    <definedName name="b_22">Sheet1!$E$28</definedName>
    <definedName name="b_3">Sheet1!$E$36</definedName>
    <definedName name="b_31">Sheet1!$E$29</definedName>
    <definedName name="b_4">Sheet1!$E$37</definedName>
    <definedName name="b_42">Sheet1!$E$30</definedName>
    <definedName name="b_44">Sheet1!$E$31</definedName>
    <definedName name="b_5">Sheet1!$E$38</definedName>
    <definedName name="b_53">Sheet1!$E$32</definedName>
    <definedName name="b_55">Sheet1!$E$33</definedName>
    <definedName name="C_">Sheet1!$E$12</definedName>
    <definedName name="C_2">Sheet1!$B$24</definedName>
    <definedName name="C_4">Sheet1!$B$25</definedName>
    <definedName name="C_o">Sheet1!$B$23</definedName>
    <definedName name="CC">Sheet1!$E$12</definedName>
    <definedName name="Clin">Sheet2!$B$22</definedName>
    <definedName name="cpow">Sheet1!$Q$3</definedName>
    <definedName name="current_uc">Sheet1!#REF!</definedName>
    <definedName name="CW">Sheet1!$B$11</definedName>
    <definedName name="dp">Sheet1!$B$6</definedName>
    <definedName name="Dt">Sheet1!$G$10</definedName>
    <definedName name="Dtlin">Sheet1!$I$10</definedName>
    <definedName name="ep">Sheet1!$B$16</definedName>
    <definedName name="HRMS">Sheet2!$B$26</definedName>
    <definedName name="hs">Sheet1!$B$4</definedName>
    <definedName name="k">Sheet1!$B$17</definedName>
    <definedName name="kd">Sheet1!$B$19</definedName>
    <definedName name="ktol">Sheet1!$M$9</definedName>
    <definedName name="kz">Sheet1!$B$22</definedName>
    <definedName name="Lp">Sheet2!$B$21</definedName>
    <definedName name="omega_lin">Sheet1!$B$13</definedName>
    <definedName name="pdensity">Sheet2!$B$29</definedName>
    <definedName name="rho">Sheet2!$B$28</definedName>
    <definedName name="rt">Sheet1!$Q$2</definedName>
    <definedName name="S">Sheet1!$E$11</definedName>
    <definedName name="tlin">Sheet1!$B$5</definedName>
    <definedName name="tmr">Sheet1!$S$4</definedName>
    <definedName name="Tp">Sheet1!$B$10</definedName>
    <definedName name="uc">Sheet1!$S$5</definedName>
    <definedName name="um">Sheet1!$S$3</definedName>
    <definedName name="umax">Sheet2!$B$27</definedName>
    <definedName name="x">Sheet1!$G$9</definedName>
    <definedName name="xpoint">Sheet1!$B$8</definedName>
    <definedName name="zaxis">Sheet2!$B$7</definedName>
    <definedName name="zpoint">Sheet1!$B$7</definedName>
  </definedNames>
  <calcPr calcId="162913"/>
</workbook>
</file>

<file path=xl/calcChain.xml><?xml version="1.0" encoding="utf-8"?>
<calcChain xmlns="http://schemas.openxmlformats.org/spreadsheetml/2006/main">
  <c r="H13" i="2" l="1"/>
  <c r="I10" i="2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H14" i="2" l="1"/>
  <c r="F32" i="1"/>
  <c r="H15" i="2" l="1"/>
  <c r="B26" i="1"/>
  <c r="S12" i="2" l="1"/>
  <c r="S13" i="2"/>
  <c r="S14" i="2"/>
  <c r="H16" i="2"/>
  <c r="S15" i="2"/>
  <c r="B4" i="1"/>
  <c r="H17" i="2" l="1"/>
  <c r="S16" i="2"/>
  <c r="B5" i="1"/>
  <c r="H18" i="2" l="1"/>
  <c r="S17" i="2"/>
  <c r="B18" i="2"/>
  <c r="B13" i="2"/>
  <c r="H19" i="2" l="1"/>
  <c r="S18" i="2"/>
  <c r="E5" i="2"/>
  <c r="H20" i="2" l="1"/>
  <c r="S19" i="2"/>
  <c r="E11" i="1"/>
  <c r="E12" i="1" s="1"/>
  <c r="E13" i="1" s="1"/>
  <c r="E14" i="1" s="1"/>
  <c r="E15" i="1" s="1"/>
  <c r="E16" i="1" s="1"/>
  <c r="E17" i="1" s="1"/>
  <c r="E18" i="1" s="1"/>
  <c r="E19" i="1" s="1"/>
  <c r="E20" i="1" s="1"/>
  <c r="H21" i="2" l="1"/>
  <c r="S20" i="2"/>
  <c r="B8" i="1"/>
  <c r="H22" i="2" l="1"/>
  <c r="S21" i="2"/>
  <c r="B9" i="1"/>
  <c r="B31" i="1"/>
  <c r="D10" i="1"/>
  <c r="A11" i="1" s="1"/>
  <c r="H23" i="2" l="1"/>
  <c r="S22" i="2"/>
  <c r="B11" i="1"/>
  <c r="C11" i="1"/>
  <c r="H24" i="2" l="1"/>
  <c r="S23" i="2"/>
  <c r="D11" i="1"/>
  <c r="A12" i="1" s="1"/>
  <c r="B12" i="1" s="1"/>
  <c r="H25" i="2" l="1"/>
  <c r="S24" i="2"/>
  <c r="C12" i="1"/>
  <c r="D12" i="1" s="1"/>
  <c r="A13" i="1" s="1"/>
  <c r="F11" i="1"/>
  <c r="H26" i="2" l="1"/>
  <c r="S25" i="2"/>
  <c r="F12" i="1"/>
  <c r="B13" i="1"/>
  <c r="C13" i="1"/>
  <c r="H27" i="2" l="1"/>
  <c r="S26" i="2"/>
  <c r="D13" i="1"/>
  <c r="H28" i="2" l="1"/>
  <c r="S27" i="2"/>
  <c r="A14" i="1"/>
  <c r="F13" i="1"/>
  <c r="H29" i="2" l="1"/>
  <c r="S28" i="2"/>
  <c r="B14" i="1"/>
  <c r="C14" i="1"/>
  <c r="H30" i="2" l="1"/>
  <c r="S29" i="2"/>
  <c r="D14" i="1"/>
  <c r="H31" i="2" l="1"/>
  <c r="S30" i="2"/>
  <c r="F14" i="1"/>
  <c r="A15" i="1"/>
  <c r="H32" i="2" l="1"/>
  <c r="S31" i="2"/>
  <c r="B15" i="1"/>
  <c r="C15" i="1"/>
  <c r="H33" i="2" l="1"/>
  <c r="S32" i="2"/>
  <c r="D15" i="1"/>
  <c r="F15" i="1" s="1"/>
  <c r="H34" i="2" l="1"/>
  <c r="S33" i="2"/>
  <c r="A16" i="1"/>
  <c r="B16" i="1" s="1"/>
  <c r="H35" i="2" l="1"/>
  <c r="S34" i="2"/>
  <c r="C16" i="1"/>
  <c r="D16" i="1" s="1"/>
  <c r="H36" i="2" l="1"/>
  <c r="S35" i="2"/>
  <c r="A17" i="1"/>
  <c r="B17" i="1" s="1"/>
  <c r="F16" i="1"/>
  <c r="H37" i="2" l="1"/>
  <c r="S36" i="2"/>
  <c r="C17" i="1"/>
  <c r="D17" i="1" s="1"/>
  <c r="F17" i="1" s="1"/>
  <c r="H38" i="2" l="1"/>
  <c r="S37" i="2"/>
  <c r="A18" i="1"/>
  <c r="C18" i="1" s="1"/>
  <c r="H39" i="2" l="1"/>
  <c r="S38" i="2"/>
  <c r="B18" i="1"/>
  <c r="D18" i="1" s="1"/>
  <c r="A19" i="1" s="1"/>
  <c r="H40" i="2" l="1"/>
  <c r="S39" i="2"/>
  <c r="F18" i="1"/>
  <c r="C19" i="1"/>
  <c r="B19" i="1"/>
  <c r="H41" i="2" l="1"/>
  <c r="S40" i="2"/>
  <c r="D19" i="1"/>
  <c r="H42" i="2" l="1"/>
  <c r="S41" i="2"/>
  <c r="A20" i="1"/>
  <c r="F19" i="1"/>
  <c r="H43" i="2" l="1"/>
  <c r="S42" i="2"/>
  <c r="C20" i="1"/>
  <c r="B20" i="1"/>
  <c r="H44" i="2" l="1"/>
  <c r="S43" i="2"/>
  <c r="D20" i="1"/>
  <c r="H45" i="2" l="1"/>
  <c r="S44" i="2"/>
  <c r="F20" i="1"/>
  <c r="F25" i="1" s="1"/>
  <c r="B21" i="1"/>
  <c r="B9" i="2" s="1"/>
  <c r="H46" i="2" l="1"/>
  <c r="S45" i="2"/>
  <c r="E4" i="2"/>
  <c r="E6" i="2"/>
  <c r="O4" i="2"/>
  <c r="Q4" i="2" s="1"/>
  <c r="E27" i="1"/>
  <c r="B17" i="2"/>
  <c r="B16" i="2"/>
  <c r="E28" i="1"/>
  <c r="G28" i="1" s="1"/>
  <c r="B22" i="1"/>
  <c r="H47" i="2" l="1"/>
  <c r="S46" i="2"/>
  <c r="B23" i="1"/>
  <c r="B32" i="1" s="1"/>
  <c r="B12" i="2"/>
  <c r="G27" i="1"/>
  <c r="B19" i="2"/>
  <c r="F29" i="1" s="1"/>
  <c r="B29" i="1" l="1"/>
  <c r="E5" i="1" s="1"/>
  <c r="H48" i="2"/>
  <c r="S47" i="2"/>
  <c r="F30" i="1"/>
  <c r="F31" i="1"/>
  <c r="E13" i="2"/>
  <c r="B23" i="2"/>
  <c r="E11" i="2"/>
  <c r="H49" i="2" l="1"/>
  <c r="S48" i="2"/>
  <c r="E12" i="2"/>
  <c r="E32" i="2" s="1"/>
  <c r="H50" i="2" l="1"/>
  <c r="S49" i="2"/>
  <c r="E20" i="2"/>
  <c r="E19" i="2"/>
  <c r="B24" i="2"/>
  <c r="E16" i="2"/>
  <c r="E18" i="2"/>
  <c r="E25" i="2" s="1"/>
  <c r="E17" i="2"/>
  <c r="E15" i="2"/>
  <c r="E29" i="2"/>
  <c r="E31" i="2"/>
  <c r="E37" i="2" s="1"/>
  <c r="E28" i="2"/>
  <c r="E30" i="2"/>
  <c r="B25" i="2"/>
  <c r="E14" i="2"/>
  <c r="E21" i="2"/>
  <c r="E26" i="2" s="1"/>
  <c r="E33" i="2"/>
  <c r="E38" i="2" s="1"/>
  <c r="H51" i="2" l="1"/>
  <c r="S50" i="2"/>
  <c r="E22" i="2"/>
  <c r="E24" i="2"/>
  <c r="B10" i="2"/>
  <c r="L6" i="2" s="1"/>
  <c r="Q6" i="2" s="1"/>
  <c r="E23" i="2"/>
  <c r="E36" i="2"/>
  <c r="E34" i="2"/>
  <c r="E35" i="2"/>
  <c r="H52" i="2" l="1"/>
  <c r="S51" i="2"/>
  <c r="B14" i="2"/>
  <c r="B11" i="2"/>
  <c r="G5" i="2"/>
  <c r="G4" i="2"/>
  <c r="G10" i="2"/>
  <c r="G13" i="2" s="1"/>
  <c r="H53" i="2" l="1"/>
  <c r="S52" i="2"/>
  <c r="T12" i="2"/>
  <c r="P5" i="2"/>
  <c r="G14" i="2"/>
  <c r="H54" i="2" l="1"/>
  <c r="S53" i="2"/>
  <c r="X12" i="2"/>
  <c r="W12" i="2"/>
  <c r="V12" i="2"/>
  <c r="U12" i="2"/>
  <c r="U13" i="2"/>
  <c r="V13" i="2"/>
  <c r="X13" i="2"/>
  <c r="T13" i="2"/>
  <c r="W13" i="2"/>
  <c r="G15" i="2"/>
  <c r="H55" i="2" l="1"/>
  <c r="S54" i="2"/>
  <c r="Y12" i="2"/>
  <c r="P12" i="2" s="1"/>
  <c r="V14" i="2"/>
  <c r="Y13" i="2"/>
  <c r="T14" i="2"/>
  <c r="W14" i="2"/>
  <c r="X14" i="2"/>
  <c r="U14" i="2"/>
  <c r="G16" i="2"/>
  <c r="H56" i="2" l="1"/>
  <c r="S55" i="2"/>
  <c r="M12" i="2"/>
  <c r="AB12" i="2"/>
  <c r="AE12" i="2"/>
  <c r="L12" i="2"/>
  <c r="AC12" i="2"/>
  <c r="N12" i="2"/>
  <c r="AA12" i="2"/>
  <c r="AD12" i="2"/>
  <c r="O12" i="2"/>
  <c r="O13" i="2"/>
  <c r="P13" i="2"/>
  <c r="M13" i="2"/>
  <c r="L13" i="2"/>
  <c r="N13" i="2"/>
  <c r="AD13" i="2"/>
  <c r="AE13" i="2"/>
  <c r="AB13" i="2"/>
  <c r="AA13" i="2"/>
  <c r="AC13" i="2"/>
  <c r="Y14" i="2"/>
  <c r="G17" i="2"/>
  <c r="U15" i="2"/>
  <c r="X15" i="2"/>
  <c r="T15" i="2"/>
  <c r="V15" i="2"/>
  <c r="W15" i="2"/>
  <c r="H57" i="2" l="1"/>
  <c r="S56" i="2"/>
  <c r="Q12" i="2"/>
  <c r="O14" i="2"/>
  <c r="P14" i="2"/>
  <c r="N14" i="2"/>
  <c r="M14" i="2"/>
  <c r="L14" i="2"/>
  <c r="Q13" i="2"/>
  <c r="AE14" i="2"/>
  <c r="AD14" i="2"/>
  <c r="AA14" i="2"/>
  <c r="AB14" i="2"/>
  <c r="AC14" i="2"/>
  <c r="AF13" i="2"/>
  <c r="Y15" i="2"/>
  <c r="U16" i="2"/>
  <c r="W16" i="2"/>
  <c r="T16" i="2"/>
  <c r="X16" i="2"/>
  <c r="V16" i="2"/>
  <c r="G18" i="2"/>
  <c r="H58" i="2" l="1"/>
  <c r="S57" i="2"/>
  <c r="P15" i="2"/>
  <c r="O15" i="2"/>
  <c r="M15" i="2"/>
  <c r="L15" i="2"/>
  <c r="N15" i="2"/>
  <c r="Q14" i="2"/>
  <c r="AE15" i="2"/>
  <c r="AD15" i="2"/>
  <c r="AC15" i="2"/>
  <c r="AB15" i="2"/>
  <c r="AA15" i="2"/>
  <c r="AF14" i="2"/>
  <c r="Y16" i="2"/>
  <c r="U17" i="2"/>
  <c r="V17" i="2"/>
  <c r="T17" i="2"/>
  <c r="W17" i="2"/>
  <c r="X17" i="2"/>
  <c r="G19" i="2"/>
  <c r="H59" i="2" l="1"/>
  <c r="S58" i="2"/>
  <c r="O16" i="2"/>
  <c r="P16" i="2"/>
  <c r="N16" i="2"/>
  <c r="M16" i="2"/>
  <c r="L16" i="2"/>
  <c r="Q15" i="2"/>
  <c r="AF15" i="2"/>
  <c r="AD16" i="2"/>
  <c r="AE16" i="2"/>
  <c r="AA16" i="2"/>
  <c r="AB16" i="2"/>
  <c r="AC16" i="2"/>
  <c r="Y17" i="2"/>
  <c r="G20" i="2"/>
  <c r="U18" i="2"/>
  <c r="X18" i="2"/>
  <c r="V18" i="2"/>
  <c r="W18" i="2"/>
  <c r="T18" i="2"/>
  <c r="H60" i="2" l="1"/>
  <c r="S59" i="2"/>
  <c r="P17" i="2"/>
  <c r="O17" i="2"/>
  <c r="N17" i="2"/>
  <c r="M17" i="2"/>
  <c r="L17" i="2"/>
  <c r="Q16" i="2"/>
  <c r="AF16" i="2"/>
  <c r="AD17" i="2"/>
  <c r="AE17" i="2"/>
  <c r="AA17" i="2"/>
  <c r="AC17" i="2"/>
  <c r="AB17" i="2"/>
  <c r="U19" i="2"/>
  <c r="X19" i="2"/>
  <c r="W19" i="2"/>
  <c r="V19" i="2"/>
  <c r="T19" i="2"/>
  <c r="Y18" i="2"/>
  <c r="G21" i="2"/>
  <c r="H61" i="2" l="1"/>
  <c r="S60" i="2"/>
  <c r="O18" i="2"/>
  <c r="P18" i="2"/>
  <c r="N18" i="2"/>
  <c r="L18" i="2"/>
  <c r="M18" i="2"/>
  <c r="Q17" i="2"/>
  <c r="AF17" i="2"/>
  <c r="AE18" i="2"/>
  <c r="AD18" i="2"/>
  <c r="AC18" i="2"/>
  <c r="AA18" i="2"/>
  <c r="AB18" i="2"/>
  <c r="U20" i="2"/>
  <c r="X20" i="2"/>
  <c r="T20" i="2"/>
  <c r="V20" i="2"/>
  <c r="W20" i="2"/>
  <c r="Y19" i="2"/>
  <c r="G22" i="2"/>
  <c r="H62" i="2" l="1"/>
  <c r="S61" i="2"/>
  <c r="O19" i="2"/>
  <c r="P19" i="2"/>
  <c r="M19" i="2"/>
  <c r="N19" i="2"/>
  <c r="L19" i="2"/>
  <c r="Q18" i="2"/>
  <c r="AF18" i="2"/>
  <c r="AE19" i="2"/>
  <c r="AD19" i="2"/>
  <c r="AC19" i="2"/>
  <c r="AB19" i="2"/>
  <c r="AA19" i="2"/>
  <c r="T21" i="2"/>
  <c r="W21" i="2"/>
  <c r="X21" i="2"/>
  <c r="U21" i="2"/>
  <c r="V21" i="2"/>
  <c r="G23" i="2"/>
  <c r="Y20" i="2"/>
  <c r="H63" i="2" l="1"/>
  <c r="S62" i="2"/>
  <c r="P20" i="2"/>
  <c r="O20" i="2"/>
  <c r="M20" i="2"/>
  <c r="L20" i="2"/>
  <c r="N20" i="2"/>
  <c r="Q19" i="2"/>
  <c r="AE20" i="2"/>
  <c r="AD20" i="2"/>
  <c r="AC20" i="2"/>
  <c r="AB20" i="2"/>
  <c r="AA20" i="2"/>
  <c r="AF19" i="2"/>
  <c r="G24" i="2"/>
  <c r="V22" i="2"/>
  <c r="T22" i="2"/>
  <c r="X22" i="2"/>
  <c r="W22" i="2"/>
  <c r="U22" i="2"/>
  <c r="Y21" i="2"/>
  <c r="H64" i="2" l="1"/>
  <c r="S63" i="2"/>
  <c r="P21" i="2"/>
  <c r="O21" i="2"/>
  <c r="N21" i="2"/>
  <c r="L21" i="2"/>
  <c r="M21" i="2"/>
  <c r="Q20" i="2"/>
  <c r="AE21" i="2"/>
  <c r="AD21" i="2"/>
  <c r="AB21" i="2"/>
  <c r="AC21" i="2"/>
  <c r="AA21" i="2"/>
  <c r="AF20" i="2"/>
  <c r="Y22" i="2"/>
  <c r="T23" i="2"/>
  <c r="W23" i="2"/>
  <c r="U23" i="2"/>
  <c r="X23" i="2"/>
  <c r="V23" i="2"/>
  <c r="G25" i="2"/>
  <c r="H65" i="2" l="1"/>
  <c r="S64" i="2"/>
  <c r="O22" i="2"/>
  <c r="P22" i="2"/>
  <c r="M22" i="2"/>
  <c r="N22" i="2"/>
  <c r="L22" i="2"/>
  <c r="Q21" i="2"/>
  <c r="AE22" i="2"/>
  <c r="AD22" i="2"/>
  <c r="AB22" i="2"/>
  <c r="AA22" i="2"/>
  <c r="AC22" i="2"/>
  <c r="AF21" i="2"/>
  <c r="U24" i="2"/>
  <c r="V24" i="2"/>
  <c r="X24" i="2"/>
  <c r="T24" i="2"/>
  <c r="W24" i="2"/>
  <c r="Y23" i="2"/>
  <c r="G26" i="2"/>
  <c r="H66" i="2" l="1"/>
  <c r="S65" i="2"/>
  <c r="O23" i="2"/>
  <c r="P23" i="2"/>
  <c r="M23" i="2"/>
  <c r="L23" i="2"/>
  <c r="N23" i="2"/>
  <c r="Q22" i="2"/>
  <c r="AD23" i="2"/>
  <c r="AE23" i="2"/>
  <c r="AB23" i="2"/>
  <c r="AA23" i="2"/>
  <c r="AC23" i="2"/>
  <c r="AF22" i="2"/>
  <c r="T25" i="2"/>
  <c r="U25" i="2"/>
  <c r="X25" i="2"/>
  <c r="W25" i="2"/>
  <c r="V25" i="2"/>
  <c r="Y24" i="2"/>
  <c r="G27" i="2"/>
  <c r="H67" i="2" l="1"/>
  <c r="S66" i="2"/>
  <c r="P24" i="2"/>
  <c r="O24" i="2"/>
  <c r="M24" i="2"/>
  <c r="N24" i="2"/>
  <c r="L24" i="2"/>
  <c r="Q23" i="2"/>
  <c r="AF23" i="2"/>
  <c r="AD24" i="2"/>
  <c r="AE24" i="2"/>
  <c r="AB24" i="2"/>
  <c r="AA24" i="2"/>
  <c r="AC24" i="2"/>
  <c r="V26" i="2"/>
  <c r="T26" i="2"/>
  <c r="X26" i="2"/>
  <c r="U26" i="2"/>
  <c r="W26" i="2"/>
  <c r="G28" i="2"/>
  <c r="Y25" i="2"/>
  <c r="H68" i="2" l="1"/>
  <c r="S67" i="2"/>
  <c r="P25" i="2"/>
  <c r="O25" i="2"/>
  <c r="N25" i="2"/>
  <c r="M25" i="2"/>
  <c r="L25" i="2"/>
  <c r="Q24" i="2"/>
  <c r="AF24" i="2"/>
  <c r="AD25" i="2"/>
  <c r="AE25" i="2"/>
  <c r="AB25" i="2"/>
  <c r="AA25" i="2"/>
  <c r="AC25" i="2"/>
  <c r="G29" i="2"/>
  <c r="Y26" i="2"/>
  <c r="T27" i="2"/>
  <c r="V27" i="2"/>
  <c r="W27" i="2"/>
  <c r="U27" i="2"/>
  <c r="X27" i="2"/>
  <c r="H69" i="2" l="1"/>
  <c r="S68" i="2"/>
  <c r="P26" i="2"/>
  <c r="O26" i="2"/>
  <c r="M26" i="2"/>
  <c r="L26" i="2"/>
  <c r="N26" i="2"/>
  <c r="Q25" i="2"/>
  <c r="AF25" i="2"/>
  <c r="AE26" i="2"/>
  <c r="AD26" i="2"/>
  <c r="AA26" i="2"/>
  <c r="AB26" i="2"/>
  <c r="AC26" i="2"/>
  <c r="Y27" i="2"/>
  <c r="X28" i="2"/>
  <c r="U28" i="2"/>
  <c r="T28" i="2"/>
  <c r="W28" i="2"/>
  <c r="V28" i="2"/>
  <c r="G30" i="2"/>
  <c r="H70" i="2" l="1"/>
  <c r="S69" i="2"/>
  <c r="O27" i="2"/>
  <c r="P27" i="2"/>
  <c r="M27" i="2"/>
  <c r="L27" i="2"/>
  <c r="N27" i="2"/>
  <c r="Q26" i="2"/>
  <c r="AD27" i="2"/>
  <c r="AE27" i="2"/>
  <c r="AC27" i="2"/>
  <c r="AB27" i="2"/>
  <c r="AA27" i="2"/>
  <c r="AF26" i="2"/>
  <c r="W29" i="2"/>
  <c r="U29" i="2"/>
  <c r="X29" i="2"/>
  <c r="T29" i="2"/>
  <c r="V29" i="2"/>
  <c r="Y28" i="2"/>
  <c r="G31" i="2"/>
  <c r="H71" i="2" l="1"/>
  <c r="S70" i="2"/>
  <c r="O28" i="2"/>
  <c r="P28" i="2"/>
  <c r="L28" i="2"/>
  <c r="N28" i="2"/>
  <c r="M28" i="2"/>
  <c r="Q27" i="2"/>
  <c r="AF27" i="2"/>
  <c r="AE28" i="2"/>
  <c r="AD28" i="2"/>
  <c r="AB28" i="2"/>
  <c r="AC28" i="2"/>
  <c r="AA28" i="2"/>
  <c r="T30" i="2"/>
  <c r="X30" i="2"/>
  <c r="W30" i="2"/>
  <c r="U30" i="2"/>
  <c r="V30" i="2"/>
  <c r="G32" i="2"/>
  <c r="Y29" i="2"/>
  <c r="H72" i="2" l="1"/>
  <c r="S71" i="2"/>
  <c r="O29" i="2"/>
  <c r="P29" i="2"/>
  <c r="L29" i="2"/>
  <c r="M29" i="2"/>
  <c r="N29" i="2"/>
  <c r="Q28" i="2"/>
  <c r="AD29" i="2"/>
  <c r="AE29" i="2"/>
  <c r="AA29" i="2"/>
  <c r="AC29" i="2"/>
  <c r="AB29" i="2"/>
  <c r="AF28" i="2"/>
  <c r="G33" i="2"/>
  <c r="T31" i="2"/>
  <c r="X31" i="2"/>
  <c r="V31" i="2"/>
  <c r="W31" i="2"/>
  <c r="U31" i="2"/>
  <c r="Y30" i="2"/>
  <c r="H73" i="2" l="1"/>
  <c r="S72" i="2"/>
  <c r="P30" i="2"/>
  <c r="O30" i="2"/>
  <c r="M30" i="2"/>
  <c r="N30" i="2"/>
  <c r="L30" i="2"/>
  <c r="Q29" i="2"/>
  <c r="AD30" i="2"/>
  <c r="AE30" i="2"/>
  <c r="AC30" i="2"/>
  <c r="AA30" i="2"/>
  <c r="AB30" i="2"/>
  <c r="AF29" i="2"/>
  <c r="T32" i="2"/>
  <c r="X32" i="2"/>
  <c r="U32" i="2"/>
  <c r="W32" i="2"/>
  <c r="V32" i="2"/>
  <c r="Y31" i="2"/>
  <c r="G34" i="2"/>
  <c r="H74" i="2" l="1"/>
  <c r="S73" i="2"/>
  <c r="P31" i="2"/>
  <c r="O31" i="2"/>
  <c r="M31" i="2"/>
  <c r="N31" i="2"/>
  <c r="L31" i="2"/>
  <c r="Q30" i="2"/>
  <c r="AF30" i="2"/>
  <c r="AE31" i="2"/>
  <c r="AD31" i="2"/>
  <c r="AB31" i="2"/>
  <c r="AA31" i="2"/>
  <c r="AC31" i="2"/>
  <c r="Y32" i="2"/>
  <c r="V33" i="2"/>
  <c r="W33" i="2"/>
  <c r="X33" i="2"/>
  <c r="T33" i="2"/>
  <c r="U33" i="2"/>
  <c r="G35" i="2"/>
  <c r="H75" i="2" l="1"/>
  <c r="S74" i="2"/>
  <c r="P32" i="2"/>
  <c r="O32" i="2"/>
  <c r="N32" i="2"/>
  <c r="M32" i="2"/>
  <c r="L32" i="2"/>
  <c r="Q31" i="2"/>
  <c r="AF31" i="2"/>
  <c r="AE32" i="2"/>
  <c r="AD32" i="2"/>
  <c r="AA32" i="2"/>
  <c r="AC32" i="2"/>
  <c r="AB32" i="2"/>
  <c r="Y33" i="2"/>
  <c r="G36" i="2"/>
  <c r="T34" i="2"/>
  <c r="W34" i="2"/>
  <c r="U34" i="2"/>
  <c r="V34" i="2"/>
  <c r="X34" i="2"/>
  <c r="H76" i="2" l="1"/>
  <c r="S75" i="2"/>
  <c r="P33" i="2"/>
  <c r="O33" i="2"/>
  <c r="N33" i="2"/>
  <c r="M33" i="2"/>
  <c r="L33" i="2"/>
  <c r="Q32" i="2"/>
  <c r="AF32" i="2"/>
  <c r="AE33" i="2"/>
  <c r="AD33" i="2"/>
  <c r="AA33" i="2"/>
  <c r="AC33" i="2"/>
  <c r="AB33" i="2"/>
  <c r="Y34" i="2"/>
  <c r="W35" i="2"/>
  <c r="U35" i="2"/>
  <c r="X35" i="2"/>
  <c r="V35" i="2"/>
  <c r="T35" i="2"/>
  <c r="G37" i="2"/>
  <c r="H77" i="2" l="1"/>
  <c r="S76" i="2"/>
  <c r="O34" i="2"/>
  <c r="P34" i="2"/>
  <c r="L34" i="2"/>
  <c r="N34" i="2"/>
  <c r="M34" i="2"/>
  <c r="Q33" i="2"/>
  <c r="AF33" i="2"/>
  <c r="AE34" i="2"/>
  <c r="AD34" i="2"/>
  <c r="AA34" i="2"/>
  <c r="AB34" i="2"/>
  <c r="AC34" i="2"/>
  <c r="G38" i="2"/>
  <c r="Y35" i="2"/>
  <c r="U36" i="2"/>
  <c r="T36" i="2"/>
  <c r="W36" i="2"/>
  <c r="V36" i="2"/>
  <c r="X36" i="2"/>
  <c r="H78" i="2" l="1"/>
  <c r="S77" i="2"/>
  <c r="O35" i="2"/>
  <c r="P35" i="2"/>
  <c r="N35" i="2"/>
  <c r="L35" i="2"/>
  <c r="M35" i="2"/>
  <c r="Q34" i="2"/>
  <c r="AD35" i="2"/>
  <c r="AE35" i="2"/>
  <c r="AC35" i="2"/>
  <c r="AB35" i="2"/>
  <c r="AA35" i="2"/>
  <c r="AF34" i="2"/>
  <c r="T37" i="2"/>
  <c r="U37" i="2"/>
  <c r="X37" i="2"/>
  <c r="V37" i="2"/>
  <c r="W37" i="2"/>
  <c r="Y36" i="2"/>
  <c r="G39" i="2"/>
  <c r="H79" i="2" l="1"/>
  <c r="S78" i="2"/>
  <c r="P36" i="2"/>
  <c r="O36" i="2"/>
  <c r="L36" i="2"/>
  <c r="N36" i="2"/>
  <c r="M36" i="2"/>
  <c r="Q35" i="2"/>
  <c r="AF35" i="2"/>
  <c r="AE36" i="2"/>
  <c r="AD36" i="2"/>
  <c r="AB36" i="2"/>
  <c r="AC36" i="2"/>
  <c r="AA36" i="2"/>
  <c r="T38" i="2"/>
  <c r="U38" i="2"/>
  <c r="W38" i="2"/>
  <c r="V38" i="2"/>
  <c r="X38" i="2"/>
  <c r="G40" i="2"/>
  <c r="Y37" i="2"/>
  <c r="H80" i="2" l="1"/>
  <c r="S79" i="2"/>
  <c r="O37" i="2"/>
  <c r="P37" i="2"/>
  <c r="L37" i="2"/>
  <c r="N37" i="2"/>
  <c r="M37" i="2"/>
  <c r="Q36" i="2"/>
  <c r="AE37" i="2"/>
  <c r="AD37" i="2"/>
  <c r="AB37" i="2"/>
  <c r="AA37" i="2"/>
  <c r="AC37" i="2"/>
  <c r="AF36" i="2"/>
  <c r="G41" i="2"/>
  <c r="V39" i="2"/>
  <c r="W39" i="2"/>
  <c r="X39" i="2"/>
  <c r="T39" i="2"/>
  <c r="U39" i="2"/>
  <c r="Y38" i="2"/>
  <c r="H81" i="2" l="1"/>
  <c r="S80" i="2"/>
  <c r="O38" i="2"/>
  <c r="P38" i="2"/>
  <c r="M38" i="2"/>
  <c r="N38" i="2"/>
  <c r="L38" i="2"/>
  <c r="Q37" i="2"/>
  <c r="AF37" i="2"/>
  <c r="AD38" i="2"/>
  <c r="AE38" i="2"/>
  <c r="AA38" i="2"/>
  <c r="AC38" i="2"/>
  <c r="AB38" i="2"/>
  <c r="Y39" i="2"/>
  <c r="V40" i="2"/>
  <c r="X40" i="2"/>
  <c r="U40" i="2"/>
  <c r="W40" i="2"/>
  <c r="T40" i="2"/>
  <c r="G42" i="2"/>
  <c r="H82" i="2" l="1"/>
  <c r="S81" i="2"/>
  <c r="O39" i="2"/>
  <c r="P39" i="2"/>
  <c r="L39" i="2"/>
  <c r="M39" i="2"/>
  <c r="N39" i="2"/>
  <c r="Q38" i="2"/>
  <c r="AF38" i="2"/>
  <c r="AE39" i="2"/>
  <c r="AD39" i="2"/>
  <c r="AA39" i="2"/>
  <c r="AB39" i="2"/>
  <c r="AC39" i="2"/>
  <c r="G43" i="2"/>
  <c r="W41" i="2"/>
  <c r="T41" i="2"/>
  <c r="X41" i="2"/>
  <c r="V41" i="2"/>
  <c r="U41" i="2"/>
  <c r="Y40" i="2"/>
  <c r="H83" i="2" l="1"/>
  <c r="S82" i="2"/>
  <c r="P40" i="2"/>
  <c r="O40" i="2"/>
  <c r="M40" i="2"/>
  <c r="N40" i="2"/>
  <c r="L40" i="2"/>
  <c r="Q39" i="2"/>
  <c r="AD40" i="2"/>
  <c r="AE40" i="2"/>
  <c r="AB40" i="2"/>
  <c r="AA40" i="2"/>
  <c r="AC40" i="2"/>
  <c r="AF39" i="2"/>
  <c r="Y41" i="2"/>
  <c r="V42" i="2"/>
  <c r="U42" i="2"/>
  <c r="W42" i="2"/>
  <c r="X42" i="2"/>
  <c r="T42" i="2"/>
  <c r="G44" i="2"/>
  <c r="H84" i="2" l="1"/>
  <c r="S83" i="2"/>
  <c r="P41" i="2"/>
  <c r="O41" i="2"/>
  <c r="N41" i="2"/>
  <c r="M41" i="2"/>
  <c r="L41" i="2"/>
  <c r="Q40" i="2"/>
  <c r="AE41" i="2"/>
  <c r="AD41" i="2"/>
  <c r="AA41" i="2"/>
  <c r="AB41" i="2"/>
  <c r="AC41" i="2"/>
  <c r="AF40" i="2"/>
  <c r="Y42" i="2"/>
  <c r="T43" i="2"/>
  <c r="U43" i="2"/>
  <c r="X43" i="2"/>
  <c r="W43" i="2"/>
  <c r="V43" i="2"/>
  <c r="G45" i="2"/>
  <c r="H85" i="2" l="1"/>
  <c r="S84" i="2"/>
  <c r="O42" i="2"/>
  <c r="P42" i="2"/>
  <c r="N42" i="2"/>
  <c r="M42" i="2"/>
  <c r="L42" i="2"/>
  <c r="Q41" i="2"/>
  <c r="AE42" i="2"/>
  <c r="AD42" i="2"/>
  <c r="AC42" i="2"/>
  <c r="AA42" i="2"/>
  <c r="AB42" i="2"/>
  <c r="AF41" i="2"/>
  <c r="X44" i="2"/>
  <c r="W44" i="2"/>
  <c r="T44" i="2"/>
  <c r="U44" i="2"/>
  <c r="V44" i="2"/>
  <c r="G46" i="2"/>
  <c r="Y43" i="2"/>
  <c r="H86" i="2" l="1"/>
  <c r="S85" i="2"/>
  <c r="O43" i="2"/>
  <c r="P43" i="2"/>
  <c r="N43" i="2"/>
  <c r="L43" i="2"/>
  <c r="M43" i="2"/>
  <c r="Q42" i="2"/>
  <c r="AF42" i="2"/>
  <c r="AE43" i="2"/>
  <c r="AD43" i="2"/>
  <c r="AB43" i="2"/>
  <c r="AA43" i="2"/>
  <c r="AC43" i="2"/>
  <c r="U45" i="2"/>
  <c r="T45" i="2"/>
  <c r="X45" i="2"/>
  <c r="V45" i="2"/>
  <c r="W45" i="2"/>
  <c r="G47" i="2"/>
  <c r="Y44" i="2"/>
  <c r="H87" i="2" l="1"/>
  <c r="S86" i="2"/>
  <c r="O44" i="2"/>
  <c r="P44" i="2"/>
  <c r="M44" i="2"/>
  <c r="L44" i="2"/>
  <c r="N44" i="2"/>
  <c r="Q43" i="2"/>
  <c r="AF43" i="2"/>
  <c r="AD44" i="2"/>
  <c r="AE44" i="2"/>
  <c r="AC44" i="2"/>
  <c r="AB44" i="2"/>
  <c r="AA44" i="2"/>
  <c r="G48" i="2"/>
  <c r="V46" i="2"/>
  <c r="X46" i="2"/>
  <c r="U46" i="2"/>
  <c r="W46" i="2"/>
  <c r="T46" i="2"/>
  <c r="Y45" i="2"/>
  <c r="H88" i="2" l="1"/>
  <c r="S87" i="2"/>
  <c r="O45" i="2"/>
  <c r="P45" i="2"/>
  <c r="N45" i="2"/>
  <c r="M45" i="2"/>
  <c r="L45" i="2"/>
  <c r="Q44" i="2"/>
  <c r="AE45" i="2"/>
  <c r="AD45" i="2"/>
  <c r="AC45" i="2"/>
  <c r="AB45" i="2"/>
  <c r="AA45" i="2"/>
  <c r="AF44" i="2"/>
  <c r="T47" i="2"/>
  <c r="V47" i="2"/>
  <c r="W47" i="2"/>
  <c r="X47" i="2"/>
  <c r="U47" i="2"/>
  <c r="Y46" i="2"/>
  <c r="G49" i="2"/>
  <c r="H89" i="2" l="1"/>
  <c r="S88" i="2"/>
  <c r="P46" i="2"/>
  <c r="O46" i="2"/>
  <c r="M46" i="2"/>
  <c r="N46" i="2"/>
  <c r="L46" i="2"/>
  <c r="Q45" i="2"/>
  <c r="AE46" i="2"/>
  <c r="AD46" i="2"/>
  <c r="AC46" i="2"/>
  <c r="AB46" i="2"/>
  <c r="AA46" i="2"/>
  <c r="AF45" i="2"/>
  <c r="V48" i="2"/>
  <c r="W48" i="2"/>
  <c r="U48" i="2"/>
  <c r="X48" i="2"/>
  <c r="T48" i="2"/>
  <c r="Y47" i="2"/>
  <c r="G50" i="2"/>
  <c r="H90" i="2" l="1"/>
  <c r="S89" i="2"/>
  <c r="P47" i="2"/>
  <c r="O47" i="2"/>
  <c r="N47" i="2"/>
  <c r="M47" i="2"/>
  <c r="L47" i="2"/>
  <c r="Q46" i="2"/>
  <c r="AE47" i="2"/>
  <c r="AD47" i="2"/>
  <c r="AA47" i="2"/>
  <c r="AB47" i="2"/>
  <c r="AC47" i="2"/>
  <c r="AF46" i="2"/>
  <c r="T49" i="2"/>
  <c r="U49" i="2"/>
  <c r="W49" i="2"/>
  <c r="X49" i="2"/>
  <c r="V49" i="2"/>
  <c r="Y48" i="2"/>
  <c r="G51" i="2"/>
  <c r="H91" i="2" l="1"/>
  <c r="S90" i="2"/>
  <c r="P48" i="2"/>
  <c r="O48" i="2"/>
  <c r="N48" i="2"/>
  <c r="L48" i="2"/>
  <c r="M48" i="2"/>
  <c r="Q47" i="2"/>
  <c r="AF47" i="2"/>
  <c r="AE48" i="2"/>
  <c r="AD48" i="2"/>
  <c r="AB48" i="2"/>
  <c r="AC48" i="2"/>
  <c r="AA48" i="2"/>
  <c r="G52" i="2"/>
  <c r="T50" i="2"/>
  <c r="X50" i="2"/>
  <c r="W50" i="2"/>
  <c r="V50" i="2"/>
  <c r="U50" i="2"/>
  <c r="Y49" i="2"/>
  <c r="H92" i="2" l="1"/>
  <c r="S91" i="2"/>
  <c r="O49" i="2"/>
  <c r="P49" i="2"/>
  <c r="M49" i="2"/>
  <c r="N49" i="2"/>
  <c r="L49" i="2"/>
  <c r="Q48" i="2"/>
  <c r="AD49" i="2"/>
  <c r="AE49" i="2"/>
  <c r="AA49" i="2"/>
  <c r="AB49" i="2"/>
  <c r="AC49" i="2"/>
  <c r="AF48" i="2"/>
  <c r="Y50" i="2"/>
  <c r="U51" i="2"/>
  <c r="V51" i="2"/>
  <c r="T51" i="2"/>
  <c r="W51" i="2"/>
  <c r="X51" i="2"/>
  <c r="G53" i="2"/>
  <c r="H93" i="2" l="1"/>
  <c r="S92" i="2"/>
  <c r="P50" i="2"/>
  <c r="O50" i="2"/>
  <c r="N50" i="2"/>
  <c r="M50" i="2"/>
  <c r="L50" i="2"/>
  <c r="Q49" i="2"/>
  <c r="AE50" i="2"/>
  <c r="AD50" i="2"/>
  <c r="AC50" i="2"/>
  <c r="AB50" i="2"/>
  <c r="AA50" i="2"/>
  <c r="AF49" i="2"/>
  <c r="V52" i="2"/>
  <c r="T52" i="2"/>
  <c r="U52" i="2"/>
  <c r="W52" i="2"/>
  <c r="X52" i="2"/>
  <c r="Y51" i="2"/>
  <c r="G54" i="2"/>
  <c r="H94" i="2" l="1"/>
  <c r="S93" i="2"/>
  <c r="P51" i="2"/>
  <c r="O51" i="2"/>
  <c r="N51" i="2"/>
  <c r="M51" i="2"/>
  <c r="L51" i="2"/>
  <c r="Q50" i="2"/>
  <c r="AF50" i="2"/>
  <c r="AE51" i="2"/>
  <c r="AD51" i="2"/>
  <c r="AA51" i="2"/>
  <c r="AC51" i="2"/>
  <c r="AB51" i="2"/>
  <c r="G55" i="2"/>
  <c r="T53" i="2"/>
  <c r="V53" i="2"/>
  <c r="W53" i="2"/>
  <c r="X53" i="2"/>
  <c r="U53" i="2"/>
  <c r="Y52" i="2"/>
  <c r="H95" i="2" l="1"/>
  <c r="S94" i="2"/>
  <c r="O52" i="2"/>
  <c r="P52" i="2"/>
  <c r="N52" i="2"/>
  <c r="L52" i="2"/>
  <c r="M52" i="2"/>
  <c r="Q51" i="2"/>
  <c r="AF51" i="2"/>
  <c r="AE52" i="2"/>
  <c r="AD52" i="2"/>
  <c r="AA52" i="2"/>
  <c r="AB52" i="2"/>
  <c r="AC52" i="2"/>
  <c r="V54" i="2"/>
  <c r="W54" i="2"/>
  <c r="U54" i="2"/>
  <c r="X54" i="2"/>
  <c r="T54" i="2"/>
  <c r="Y53" i="2"/>
  <c r="G56" i="2"/>
  <c r="H96" i="2" l="1"/>
  <c r="S95" i="2"/>
  <c r="P53" i="2"/>
  <c r="O53" i="2"/>
  <c r="L53" i="2"/>
  <c r="M53" i="2"/>
  <c r="N53" i="2"/>
  <c r="Q52" i="2"/>
  <c r="AF52" i="2"/>
  <c r="AE53" i="2"/>
  <c r="AD53" i="2"/>
  <c r="AB53" i="2"/>
  <c r="AA53" i="2"/>
  <c r="AC53" i="2"/>
  <c r="G57" i="2"/>
  <c r="T55" i="2"/>
  <c r="X55" i="2"/>
  <c r="W55" i="2"/>
  <c r="V55" i="2"/>
  <c r="U55" i="2"/>
  <c r="Y54" i="2"/>
  <c r="H97" i="2" l="1"/>
  <c r="S96" i="2"/>
  <c r="O54" i="2"/>
  <c r="P54" i="2"/>
  <c r="M54" i="2"/>
  <c r="N54" i="2"/>
  <c r="L54" i="2"/>
  <c r="Q53" i="2"/>
  <c r="AF53" i="2"/>
  <c r="AE54" i="2"/>
  <c r="AD54" i="2"/>
  <c r="AC54" i="2"/>
  <c r="AB54" i="2"/>
  <c r="AA54" i="2"/>
  <c r="V56" i="2"/>
  <c r="U56" i="2"/>
  <c r="W56" i="2"/>
  <c r="T56" i="2"/>
  <c r="X56" i="2"/>
  <c r="Y55" i="2"/>
  <c r="G58" i="2"/>
  <c r="H98" i="2" l="1"/>
  <c r="S97" i="2"/>
  <c r="P55" i="2"/>
  <c r="O55" i="2"/>
  <c r="N55" i="2"/>
  <c r="M55" i="2"/>
  <c r="L55" i="2"/>
  <c r="Q54" i="2"/>
  <c r="AF54" i="2"/>
  <c r="AE55" i="2"/>
  <c r="AD55" i="2"/>
  <c r="AB55" i="2"/>
  <c r="AC55" i="2"/>
  <c r="AA55" i="2"/>
  <c r="U57" i="2"/>
  <c r="W57" i="2"/>
  <c r="V57" i="2"/>
  <c r="X57" i="2"/>
  <c r="T57" i="2"/>
  <c r="G59" i="2"/>
  <c r="Y56" i="2"/>
  <c r="H99" i="2" l="1"/>
  <c r="S98" i="2"/>
  <c r="P56" i="2"/>
  <c r="O56" i="2"/>
  <c r="M56" i="2"/>
  <c r="L56" i="2"/>
  <c r="N56" i="2"/>
  <c r="Q55" i="2"/>
  <c r="AF55" i="2"/>
  <c r="AE56" i="2"/>
  <c r="AD56" i="2"/>
  <c r="AA56" i="2"/>
  <c r="AB56" i="2"/>
  <c r="AC56" i="2"/>
  <c r="G60" i="2"/>
  <c r="T58" i="2"/>
  <c r="W58" i="2"/>
  <c r="V58" i="2"/>
  <c r="U58" i="2"/>
  <c r="X58" i="2"/>
  <c r="Y57" i="2"/>
  <c r="H100" i="2" l="1"/>
  <c r="S99" i="2"/>
  <c r="P57" i="2"/>
  <c r="O57" i="2"/>
  <c r="N57" i="2"/>
  <c r="M57" i="2"/>
  <c r="L57" i="2"/>
  <c r="Q56" i="2"/>
  <c r="AF56" i="2"/>
  <c r="AE57" i="2"/>
  <c r="AD57" i="2"/>
  <c r="AA57" i="2"/>
  <c r="AC57" i="2"/>
  <c r="AB57" i="2"/>
  <c r="G61" i="2"/>
  <c r="X59" i="2"/>
  <c r="V59" i="2"/>
  <c r="U59" i="2"/>
  <c r="T59" i="2"/>
  <c r="W59" i="2"/>
  <c r="Y58" i="2"/>
  <c r="H101" i="2" l="1"/>
  <c r="S100" i="2"/>
  <c r="P58" i="2"/>
  <c r="O58" i="2"/>
  <c r="M58" i="2"/>
  <c r="L58" i="2"/>
  <c r="N58" i="2"/>
  <c r="Q57" i="2"/>
  <c r="AE58" i="2"/>
  <c r="AD58" i="2"/>
  <c r="AC58" i="2"/>
  <c r="AB58" i="2"/>
  <c r="AA58" i="2"/>
  <c r="AF57" i="2"/>
  <c r="Y59" i="2"/>
  <c r="T60" i="2"/>
  <c r="X60" i="2"/>
  <c r="W60" i="2"/>
  <c r="V60" i="2"/>
  <c r="U60" i="2"/>
  <c r="G62" i="2"/>
  <c r="H102" i="2" l="1"/>
  <c r="S101" i="2"/>
  <c r="O59" i="2"/>
  <c r="P59" i="2"/>
  <c r="M59" i="2"/>
  <c r="N59" i="2"/>
  <c r="L59" i="2"/>
  <c r="Q58" i="2"/>
  <c r="AE59" i="2"/>
  <c r="AD59" i="2"/>
  <c r="AC59" i="2"/>
  <c r="AA59" i="2"/>
  <c r="AB59" i="2"/>
  <c r="AF58" i="2"/>
  <c r="G63" i="2"/>
  <c r="Y60" i="2"/>
  <c r="V61" i="2"/>
  <c r="T61" i="2"/>
  <c r="X61" i="2"/>
  <c r="W61" i="2"/>
  <c r="U61" i="2"/>
  <c r="H103" i="2" l="1"/>
  <c r="S102" i="2"/>
  <c r="P60" i="2"/>
  <c r="O60" i="2"/>
  <c r="N60" i="2"/>
  <c r="M60" i="2"/>
  <c r="L60" i="2"/>
  <c r="Q59" i="2"/>
  <c r="AE60" i="2"/>
  <c r="AD60" i="2"/>
  <c r="AB60" i="2"/>
  <c r="AC60" i="2"/>
  <c r="AA60" i="2"/>
  <c r="AF59" i="2"/>
  <c r="Y61" i="2"/>
  <c r="G64" i="2"/>
  <c r="T62" i="2"/>
  <c r="U62" i="2"/>
  <c r="X62" i="2"/>
  <c r="W62" i="2"/>
  <c r="V62" i="2"/>
  <c r="H104" i="2" l="1"/>
  <c r="S103" i="2"/>
  <c r="O61" i="2"/>
  <c r="P61" i="2"/>
  <c r="M61" i="2"/>
  <c r="L61" i="2"/>
  <c r="N61" i="2"/>
  <c r="Q60" i="2"/>
  <c r="AD61" i="2"/>
  <c r="AE61" i="2"/>
  <c r="AC61" i="2"/>
  <c r="AA61" i="2"/>
  <c r="AB61" i="2"/>
  <c r="AF60" i="2"/>
  <c r="G65" i="2"/>
  <c r="V63" i="2"/>
  <c r="U63" i="2"/>
  <c r="X63" i="2"/>
  <c r="T63" i="2"/>
  <c r="W63" i="2"/>
  <c r="Y62" i="2"/>
  <c r="H105" i="2" l="1"/>
  <c r="S104" i="2"/>
  <c r="P62" i="2"/>
  <c r="O62" i="2"/>
  <c r="M62" i="2"/>
  <c r="N62" i="2"/>
  <c r="L62" i="2"/>
  <c r="Q61" i="2"/>
  <c r="AE62" i="2"/>
  <c r="AD62" i="2"/>
  <c r="AC62" i="2"/>
  <c r="AB62" i="2"/>
  <c r="AA62" i="2"/>
  <c r="AF61" i="2"/>
  <c r="V64" i="2"/>
  <c r="X64" i="2"/>
  <c r="U64" i="2"/>
  <c r="T64" i="2"/>
  <c r="W64" i="2"/>
  <c r="Y63" i="2"/>
  <c r="G66" i="2"/>
  <c r="H106" i="2" l="1"/>
  <c r="S105" i="2"/>
  <c r="P63" i="2"/>
  <c r="O63" i="2"/>
  <c r="N63" i="2"/>
  <c r="M63" i="2"/>
  <c r="L63" i="2"/>
  <c r="Q62" i="2"/>
  <c r="AE63" i="2"/>
  <c r="AD63" i="2"/>
  <c r="AB63" i="2"/>
  <c r="AC63" i="2"/>
  <c r="AA63" i="2"/>
  <c r="AF62" i="2"/>
  <c r="G67" i="2"/>
  <c r="Y64" i="2"/>
  <c r="W65" i="2"/>
  <c r="T65" i="2"/>
  <c r="X65" i="2"/>
  <c r="V65" i="2"/>
  <c r="U65" i="2"/>
  <c r="H107" i="2" l="1"/>
  <c r="S106" i="2"/>
  <c r="P64" i="2"/>
  <c r="O64" i="2"/>
  <c r="N64" i="2"/>
  <c r="L64" i="2"/>
  <c r="M64" i="2"/>
  <c r="Q63" i="2"/>
  <c r="AF63" i="2"/>
  <c r="AD64" i="2"/>
  <c r="AE64" i="2"/>
  <c r="AC64" i="2"/>
  <c r="AA64" i="2"/>
  <c r="AB64" i="2"/>
  <c r="Y65" i="2"/>
  <c r="G68" i="2"/>
  <c r="W66" i="2"/>
  <c r="T66" i="2"/>
  <c r="V66" i="2"/>
  <c r="X66" i="2"/>
  <c r="U66" i="2"/>
  <c r="H108" i="2" l="1"/>
  <c r="S107" i="2"/>
  <c r="P65" i="2"/>
  <c r="O65" i="2"/>
  <c r="L65" i="2"/>
  <c r="N65" i="2"/>
  <c r="M65" i="2"/>
  <c r="Q64" i="2"/>
  <c r="AE65" i="2"/>
  <c r="AD65" i="2"/>
  <c r="AB65" i="2"/>
  <c r="AA65" i="2"/>
  <c r="AC65" i="2"/>
  <c r="AF64" i="2"/>
  <c r="W67" i="2"/>
  <c r="U67" i="2"/>
  <c r="X67" i="2"/>
  <c r="T67" i="2"/>
  <c r="V67" i="2"/>
  <c r="Y66" i="2"/>
  <c r="G69" i="2"/>
  <c r="H109" i="2" l="1"/>
  <c r="S108" i="2"/>
  <c r="O66" i="2"/>
  <c r="P66" i="2"/>
  <c r="N66" i="2"/>
  <c r="M66" i="2"/>
  <c r="L66" i="2"/>
  <c r="Q65" i="2"/>
  <c r="AF65" i="2"/>
  <c r="AD66" i="2"/>
  <c r="AE66" i="2"/>
  <c r="AB66" i="2"/>
  <c r="AA66" i="2"/>
  <c r="AC66" i="2"/>
  <c r="Y67" i="2"/>
  <c r="G70" i="2"/>
  <c r="W68" i="2"/>
  <c r="U68" i="2"/>
  <c r="V68" i="2"/>
  <c r="X68" i="2"/>
  <c r="T68" i="2"/>
  <c r="H110" i="2" l="1"/>
  <c r="S109" i="2"/>
  <c r="P67" i="2"/>
  <c r="O67" i="2"/>
  <c r="N67" i="2"/>
  <c r="L67" i="2"/>
  <c r="M67" i="2"/>
  <c r="Q66" i="2"/>
  <c r="AE67" i="2"/>
  <c r="AD67" i="2"/>
  <c r="AC67" i="2"/>
  <c r="AB67" i="2"/>
  <c r="AA67" i="2"/>
  <c r="AF66" i="2"/>
  <c r="Y68" i="2"/>
  <c r="G71" i="2"/>
  <c r="X69" i="2"/>
  <c r="U69" i="2"/>
  <c r="W69" i="2"/>
  <c r="V69" i="2"/>
  <c r="T69" i="2"/>
  <c r="H111" i="2" l="1"/>
  <c r="S110" i="2"/>
  <c r="O68" i="2"/>
  <c r="P68" i="2"/>
  <c r="L68" i="2"/>
  <c r="N68" i="2"/>
  <c r="M68" i="2"/>
  <c r="Q67" i="2"/>
  <c r="AF67" i="2"/>
  <c r="AE68" i="2"/>
  <c r="AD68" i="2"/>
  <c r="AC68" i="2"/>
  <c r="AB68" i="2"/>
  <c r="AA68" i="2"/>
  <c r="Y69" i="2"/>
  <c r="X70" i="2"/>
  <c r="U70" i="2"/>
  <c r="W70" i="2"/>
  <c r="T70" i="2"/>
  <c r="V70" i="2"/>
  <c r="G72" i="2"/>
  <c r="H112" i="2" l="1"/>
  <c r="S111" i="2"/>
  <c r="O69" i="2"/>
  <c r="P69" i="2"/>
  <c r="M69" i="2"/>
  <c r="L69" i="2"/>
  <c r="N69" i="2"/>
  <c r="Q68" i="2"/>
  <c r="AE69" i="2"/>
  <c r="AD69" i="2"/>
  <c r="AB69" i="2"/>
  <c r="AA69" i="2"/>
  <c r="AC69" i="2"/>
  <c r="AF68" i="2"/>
  <c r="G73" i="2"/>
  <c r="W71" i="2"/>
  <c r="U71" i="2"/>
  <c r="X71" i="2"/>
  <c r="V71" i="2"/>
  <c r="T71" i="2"/>
  <c r="Y70" i="2"/>
  <c r="S112" i="2" l="1"/>
  <c r="O70" i="2"/>
  <c r="P70" i="2"/>
  <c r="L70" i="2"/>
  <c r="N70" i="2"/>
  <c r="M70" i="2"/>
  <c r="Q69" i="2"/>
  <c r="AF69" i="2"/>
  <c r="AD70" i="2"/>
  <c r="AE70" i="2"/>
  <c r="AC70" i="2"/>
  <c r="AB70" i="2"/>
  <c r="AA70" i="2"/>
  <c r="Y71" i="2"/>
  <c r="G74" i="2"/>
  <c r="X72" i="2"/>
  <c r="U72" i="2"/>
  <c r="T72" i="2"/>
  <c r="V72" i="2"/>
  <c r="W72" i="2"/>
  <c r="P71" i="2" l="1"/>
  <c r="O71" i="2"/>
  <c r="N71" i="2"/>
  <c r="L71" i="2"/>
  <c r="M71" i="2"/>
  <c r="Q70" i="2"/>
  <c r="AF70" i="2"/>
  <c r="AD71" i="2"/>
  <c r="AE71" i="2"/>
  <c r="AB71" i="2"/>
  <c r="AA71" i="2"/>
  <c r="AC71" i="2"/>
  <c r="Y72" i="2"/>
  <c r="G75" i="2"/>
  <c r="W73" i="2"/>
  <c r="U73" i="2"/>
  <c r="X73" i="2"/>
  <c r="T73" i="2"/>
  <c r="V73" i="2"/>
  <c r="P72" i="2" l="1"/>
  <c r="O72" i="2"/>
  <c r="M72" i="2"/>
  <c r="L72" i="2"/>
  <c r="N72" i="2"/>
  <c r="Q71" i="2"/>
  <c r="AE72" i="2"/>
  <c r="AD72" i="2"/>
  <c r="AB72" i="2"/>
  <c r="AC72" i="2"/>
  <c r="AA72" i="2"/>
  <c r="AF71" i="2"/>
  <c r="G76" i="2"/>
  <c r="Y73" i="2"/>
  <c r="X74" i="2"/>
  <c r="U74" i="2"/>
  <c r="T74" i="2"/>
  <c r="W74" i="2"/>
  <c r="V74" i="2"/>
  <c r="O73" i="2" l="1"/>
  <c r="P73" i="2"/>
  <c r="N73" i="2"/>
  <c r="M73" i="2"/>
  <c r="L73" i="2"/>
  <c r="Q72" i="2"/>
  <c r="AE73" i="2"/>
  <c r="AD73" i="2"/>
  <c r="AC73" i="2"/>
  <c r="AB73" i="2"/>
  <c r="AA73" i="2"/>
  <c r="AF72" i="2"/>
  <c r="W75" i="2"/>
  <c r="U75" i="2"/>
  <c r="X75" i="2"/>
  <c r="V75" i="2"/>
  <c r="T75" i="2"/>
  <c r="G77" i="2"/>
  <c r="Y74" i="2"/>
  <c r="P74" i="2" l="1"/>
  <c r="O74" i="2"/>
  <c r="L74" i="2"/>
  <c r="N74" i="2"/>
  <c r="M74" i="2"/>
  <c r="Q73" i="2"/>
  <c r="AD74" i="2"/>
  <c r="AE74" i="2"/>
  <c r="AB74" i="2"/>
  <c r="AA74" i="2"/>
  <c r="AC74" i="2"/>
  <c r="AF73" i="2"/>
  <c r="Y75" i="2"/>
  <c r="W76" i="2"/>
  <c r="U76" i="2"/>
  <c r="T76" i="2"/>
  <c r="V76" i="2"/>
  <c r="X76" i="2"/>
  <c r="G78" i="2"/>
  <c r="O75" i="2" l="1"/>
  <c r="P75" i="2"/>
  <c r="L75" i="2"/>
  <c r="N75" i="2"/>
  <c r="M75" i="2"/>
  <c r="Q74" i="2"/>
  <c r="AF74" i="2"/>
  <c r="AE75" i="2"/>
  <c r="AD75" i="2"/>
  <c r="AA75" i="2"/>
  <c r="AB75" i="2"/>
  <c r="AC75" i="2"/>
  <c r="X77" i="2"/>
  <c r="T77" i="2"/>
  <c r="W77" i="2"/>
  <c r="V77" i="2"/>
  <c r="U77" i="2"/>
  <c r="Y76" i="2"/>
  <c r="G79" i="2"/>
  <c r="P76" i="2" l="1"/>
  <c r="O76" i="2"/>
  <c r="N76" i="2"/>
  <c r="L76" i="2"/>
  <c r="M76" i="2"/>
  <c r="Q75" i="2"/>
  <c r="AF75" i="2"/>
  <c r="AD76" i="2"/>
  <c r="AE76" i="2"/>
  <c r="AC76" i="2"/>
  <c r="AA76" i="2"/>
  <c r="AB76" i="2"/>
  <c r="Y77" i="2"/>
  <c r="G80" i="2"/>
  <c r="W78" i="2"/>
  <c r="U78" i="2"/>
  <c r="T78" i="2"/>
  <c r="X78" i="2"/>
  <c r="V78" i="2"/>
  <c r="O77" i="2" l="1"/>
  <c r="P77" i="2"/>
  <c r="M77" i="2"/>
  <c r="L77" i="2"/>
  <c r="N77" i="2"/>
  <c r="Q76" i="2"/>
  <c r="AD77" i="2"/>
  <c r="AE77" i="2"/>
  <c r="AB77" i="2"/>
  <c r="AA77" i="2"/>
  <c r="AC77" i="2"/>
  <c r="AF76" i="2"/>
  <c r="W79" i="2"/>
  <c r="T79" i="2"/>
  <c r="X79" i="2"/>
  <c r="V79" i="2"/>
  <c r="U79" i="2"/>
  <c r="G81" i="2"/>
  <c r="Y78" i="2"/>
  <c r="P78" i="2" l="1"/>
  <c r="O78" i="2"/>
  <c r="N78" i="2"/>
  <c r="L78" i="2"/>
  <c r="M78" i="2"/>
  <c r="Q77" i="2"/>
  <c r="AD78" i="2"/>
  <c r="AE78" i="2"/>
  <c r="AC78" i="2"/>
  <c r="AB78" i="2"/>
  <c r="AA78" i="2"/>
  <c r="AF77" i="2"/>
  <c r="Y79" i="2"/>
  <c r="G82" i="2"/>
  <c r="W80" i="2"/>
  <c r="U80" i="2"/>
  <c r="T80" i="2"/>
  <c r="V80" i="2"/>
  <c r="X80" i="2"/>
  <c r="P79" i="2" l="1"/>
  <c r="O79" i="2"/>
  <c r="M79" i="2"/>
  <c r="L79" i="2"/>
  <c r="N79" i="2"/>
  <c r="Q78" i="2"/>
  <c r="AF78" i="2"/>
  <c r="AE79" i="2"/>
  <c r="AD79" i="2"/>
  <c r="AA79" i="2"/>
  <c r="AC79" i="2"/>
  <c r="AB79" i="2"/>
  <c r="X81" i="2"/>
  <c r="U81" i="2"/>
  <c r="W81" i="2"/>
  <c r="V81" i="2"/>
  <c r="T81" i="2"/>
  <c r="G83" i="2"/>
  <c r="Y80" i="2"/>
  <c r="P80" i="2" l="1"/>
  <c r="O80" i="2"/>
  <c r="N80" i="2"/>
  <c r="M80" i="2"/>
  <c r="L80" i="2"/>
  <c r="Q79" i="2"/>
  <c r="AD80" i="2"/>
  <c r="AE80" i="2"/>
  <c r="AB80" i="2"/>
  <c r="AA80" i="2"/>
  <c r="AC80" i="2"/>
  <c r="AF79" i="2"/>
  <c r="T82" i="2"/>
  <c r="X82" i="2"/>
  <c r="U82" i="2"/>
  <c r="W82" i="2"/>
  <c r="V82" i="2"/>
  <c r="Y81" i="2"/>
  <c r="G84" i="2"/>
  <c r="P81" i="2" l="1"/>
  <c r="O81" i="2"/>
  <c r="N81" i="2"/>
  <c r="M81" i="2"/>
  <c r="L81" i="2"/>
  <c r="Q80" i="2"/>
  <c r="AF80" i="2"/>
  <c r="AD81" i="2"/>
  <c r="AE81" i="2"/>
  <c r="AA81" i="2"/>
  <c r="AB81" i="2"/>
  <c r="AC81" i="2"/>
  <c r="X83" i="2"/>
  <c r="T83" i="2"/>
  <c r="V83" i="2"/>
  <c r="W83" i="2"/>
  <c r="U83" i="2"/>
  <c r="G85" i="2"/>
  <c r="Y82" i="2"/>
  <c r="O82" i="2" l="1"/>
  <c r="P82" i="2"/>
  <c r="N82" i="2"/>
  <c r="M82" i="2"/>
  <c r="L82" i="2"/>
  <c r="Q81" i="2"/>
  <c r="AF81" i="2"/>
  <c r="AD82" i="2"/>
  <c r="AE82" i="2"/>
  <c r="AA82" i="2"/>
  <c r="AC82" i="2"/>
  <c r="AB82" i="2"/>
  <c r="W84" i="2"/>
  <c r="T84" i="2"/>
  <c r="U84" i="2"/>
  <c r="V84" i="2"/>
  <c r="X84" i="2"/>
  <c r="G86" i="2"/>
  <c r="Y83" i="2"/>
  <c r="P83" i="2" l="1"/>
  <c r="O83" i="2"/>
  <c r="N83" i="2"/>
  <c r="L83" i="2"/>
  <c r="M83" i="2"/>
  <c r="Q82" i="2"/>
  <c r="AE83" i="2"/>
  <c r="AD83" i="2"/>
  <c r="AC83" i="2"/>
  <c r="AB83" i="2"/>
  <c r="AA83" i="2"/>
  <c r="AF82" i="2"/>
  <c r="W85" i="2"/>
  <c r="U85" i="2"/>
  <c r="X85" i="2"/>
  <c r="V85" i="2"/>
  <c r="T85" i="2"/>
  <c r="G87" i="2"/>
  <c r="Y84" i="2"/>
  <c r="O84" i="2" l="1"/>
  <c r="P84" i="2"/>
  <c r="M84" i="2"/>
  <c r="L84" i="2"/>
  <c r="N84" i="2"/>
  <c r="Q83" i="2"/>
  <c r="AF83" i="2"/>
  <c r="AE84" i="2"/>
  <c r="AD84" i="2"/>
  <c r="AA84" i="2"/>
  <c r="AB84" i="2"/>
  <c r="AC84" i="2"/>
  <c r="Y85" i="2"/>
  <c r="G88" i="2"/>
  <c r="X86" i="2"/>
  <c r="U86" i="2"/>
  <c r="W86" i="2"/>
  <c r="V86" i="2"/>
  <c r="T86" i="2"/>
  <c r="O85" i="2" l="1"/>
  <c r="P85" i="2"/>
  <c r="L85" i="2"/>
  <c r="N85" i="2"/>
  <c r="M85" i="2"/>
  <c r="Q84" i="2"/>
  <c r="AF84" i="2"/>
  <c r="AE85" i="2"/>
  <c r="AD85" i="2"/>
  <c r="AC85" i="2"/>
  <c r="AB85" i="2"/>
  <c r="AA85" i="2"/>
  <c r="W87" i="2"/>
  <c r="U87" i="2"/>
  <c r="X87" i="2"/>
  <c r="V87" i="2"/>
  <c r="T87" i="2"/>
  <c r="G89" i="2"/>
  <c r="Y86" i="2"/>
  <c r="P86" i="2" l="1"/>
  <c r="O86" i="2"/>
  <c r="N86" i="2"/>
  <c r="M86" i="2"/>
  <c r="L86" i="2"/>
  <c r="Q85" i="2"/>
  <c r="AF85" i="2"/>
  <c r="AE86" i="2"/>
  <c r="AD86" i="2"/>
  <c r="AA86" i="2"/>
  <c r="AB86" i="2"/>
  <c r="AC86" i="2"/>
  <c r="X88" i="2"/>
  <c r="U88" i="2"/>
  <c r="T88" i="2"/>
  <c r="W88" i="2"/>
  <c r="V88" i="2"/>
  <c r="G90" i="2"/>
  <c r="Y87" i="2"/>
  <c r="P87" i="2" l="1"/>
  <c r="O87" i="2"/>
  <c r="N87" i="2"/>
  <c r="L87" i="2"/>
  <c r="M87" i="2"/>
  <c r="Q86" i="2"/>
  <c r="AF86" i="2"/>
  <c r="AD87" i="2"/>
  <c r="AE87" i="2"/>
  <c r="AA87" i="2"/>
  <c r="AC87" i="2"/>
  <c r="AB87" i="2"/>
  <c r="Y88" i="2"/>
  <c r="T89" i="2"/>
  <c r="W89" i="2"/>
  <c r="U89" i="2"/>
  <c r="V89" i="2"/>
  <c r="X89" i="2"/>
  <c r="G91" i="2"/>
  <c r="P88" i="2" l="1"/>
  <c r="O88" i="2"/>
  <c r="N88" i="2"/>
  <c r="L88" i="2"/>
  <c r="M88" i="2"/>
  <c r="Q87" i="2"/>
  <c r="AF87" i="2"/>
  <c r="AE88" i="2"/>
  <c r="AD88" i="2"/>
  <c r="AA88" i="2"/>
  <c r="AC88" i="2"/>
  <c r="AB88" i="2"/>
  <c r="X90" i="2"/>
  <c r="U90" i="2"/>
  <c r="W90" i="2"/>
  <c r="T90" i="2"/>
  <c r="V90" i="2"/>
  <c r="Y89" i="2"/>
  <c r="G92" i="2"/>
  <c r="O89" i="2" l="1"/>
  <c r="P89" i="2"/>
  <c r="L89" i="2"/>
  <c r="M89" i="2"/>
  <c r="N89" i="2"/>
  <c r="Q88" i="2"/>
  <c r="AD89" i="2"/>
  <c r="AE89" i="2"/>
  <c r="AA89" i="2"/>
  <c r="AB89" i="2"/>
  <c r="AC89" i="2"/>
  <c r="AF88" i="2"/>
  <c r="G93" i="2"/>
  <c r="W91" i="2"/>
  <c r="V91" i="2"/>
  <c r="T91" i="2"/>
  <c r="X91" i="2"/>
  <c r="U91" i="2"/>
  <c r="Y90" i="2"/>
  <c r="P90" i="2" l="1"/>
  <c r="O90" i="2"/>
  <c r="L90" i="2"/>
  <c r="N90" i="2"/>
  <c r="M90" i="2"/>
  <c r="Q89" i="2"/>
  <c r="AF89" i="2"/>
  <c r="AE90" i="2"/>
  <c r="AD90" i="2"/>
  <c r="AA90" i="2"/>
  <c r="AB90" i="2"/>
  <c r="AC90" i="2"/>
  <c r="G94" i="2"/>
  <c r="W92" i="2"/>
  <c r="T92" i="2"/>
  <c r="X92" i="2"/>
  <c r="U92" i="2"/>
  <c r="V92" i="2"/>
  <c r="Y91" i="2"/>
  <c r="O91" i="2" l="1"/>
  <c r="P91" i="2"/>
  <c r="N91" i="2"/>
  <c r="M91" i="2"/>
  <c r="L91" i="2"/>
  <c r="Q90" i="2"/>
  <c r="AF90" i="2"/>
  <c r="AE91" i="2"/>
  <c r="AD91" i="2"/>
  <c r="AC91" i="2"/>
  <c r="AB91" i="2"/>
  <c r="AA91" i="2"/>
  <c r="Y92" i="2"/>
  <c r="V93" i="2"/>
  <c r="T93" i="2"/>
  <c r="W93" i="2"/>
  <c r="U93" i="2"/>
  <c r="X93" i="2"/>
  <c r="G95" i="2"/>
  <c r="P92" i="2" l="1"/>
  <c r="O92" i="2"/>
  <c r="L92" i="2"/>
  <c r="N92" i="2"/>
  <c r="M92" i="2"/>
  <c r="Q91" i="2"/>
  <c r="AF91" i="2"/>
  <c r="AD92" i="2"/>
  <c r="AE92" i="2"/>
  <c r="AA92" i="2"/>
  <c r="AB92" i="2"/>
  <c r="AC92" i="2"/>
  <c r="G96" i="2"/>
  <c r="Y93" i="2"/>
  <c r="X94" i="2"/>
  <c r="T94" i="2"/>
  <c r="V94" i="2"/>
  <c r="W94" i="2"/>
  <c r="U94" i="2"/>
  <c r="O93" i="2" l="1"/>
  <c r="P93" i="2"/>
  <c r="L93" i="2"/>
  <c r="N93" i="2"/>
  <c r="M93" i="2"/>
  <c r="Q92" i="2"/>
  <c r="AF92" i="2"/>
  <c r="AE93" i="2"/>
  <c r="AD93" i="2"/>
  <c r="AB93" i="2"/>
  <c r="AA93" i="2"/>
  <c r="AC93" i="2"/>
  <c r="Y94" i="2"/>
  <c r="X95" i="2"/>
  <c r="U95" i="2"/>
  <c r="V95" i="2"/>
  <c r="W95" i="2"/>
  <c r="T95" i="2"/>
  <c r="G97" i="2"/>
  <c r="P94" i="2" l="1"/>
  <c r="O94" i="2"/>
  <c r="L94" i="2"/>
  <c r="N94" i="2"/>
  <c r="M94" i="2"/>
  <c r="Q93" i="2"/>
  <c r="AD94" i="2"/>
  <c r="AE94" i="2"/>
  <c r="AC94" i="2"/>
  <c r="AB94" i="2"/>
  <c r="AA94" i="2"/>
  <c r="AF93" i="2"/>
  <c r="T96" i="2"/>
  <c r="V96" i="2"/>
  <c r="X96" i="2"/>
  <c r="U96" i="2"/>
  <c r="W96" i="2"/>
  <c r="G98" i="2"/>
  <c r="Y95" i="2"/>
  <c r="P95" i="2" l="1"/>
  <c r="O95" i="2"/>
  <c r="N95" i="2"/>
  <c r="M95" i="2"/>
  <c r="L95" i="2"/>
  <c r="Q94" i="2"/>
  <c r="AD95" i="2"/>
  <c r="AE95" i="2"/>
  <c r="AA95" i="2"/>
  <c r="AC95" i="2"/>
  <c r="AB95" i="2"/>
  <c r="AF94" i="2"/>
  <c r="W97" i="2"/>
  <c r="X97" i="2"/>
  <c r="U97" i="2"/>
  <c r="T97" i="2"/>
  <c r="V97" i="2"/>
  <c r="G99" i="2"/>
  <c r="Y96" i="2"/>
  <c r="P96" i="2" l="1"/>
  <c r="O96" i="2"/>
  <c r="N96" i="2"/>
  <c r="L96" i="2"/>
  <c r="M96" i="2"/>
  <c r="Q95" i="2"/>
  <c r="AF95" i="2"/>
  <c r="AE96" i="2"/>
  <c r="AD96" i="2"/>
  <c r="AB96" i="2"/>
  <c r="AA96" i="2"/>
  <c r="AC96" i="2"/>
  <c r="Y97" i="2"/>
  <c r="G100" i="2"/>
  <c r="W98" i="2"/>
  <c r="U98" i="2"/>
  <c r="V98" i="2"/>
  <c r="T98" i="2"/>
  <c r="X98" i="2"/>
  <c r="O97" i="2" l="1"/>
  <c r="P97" i="2"/>
  <c r="N97" i="2"/>
  <c r="M97" i="2"/>
  <c r="L97" i="2"/>
  <c r="Q96" i="2"/>
  <c r="AF96" i="2"/>
  <c r="AE97" i="2"/>
  <c r="AD97" i="2"/>
  <c r="AC97" i="2"/>
  <c r="AB97" i="2"/>
  <c r="AA97" i="2"/>
  <c r="W99" i="2"/>
  <c r="U99" i="2"/>
  <c r="V99" i="2"/>
  <c r="X99" i="2"/>
  <c r="T99" i="2"/>
  <c r="G101" i="2"/>
  <c r="Y98" i="2"/>
  <c r="O98" i="2" l="1"/>
  <c r="P98" i="2"/>
  <c r="M98" i="2"/>
  <c r="N98" i="2"/>
  <c r="L98" i="2"/>
  <c r="Q97" i="2"/>
  <c r="AF97" i="2"/>
  <c r="AD98" i="2"/>
  <c r="AE98" i="2"/>
  <c r="AA98" i="2"/>
  <c r="AC98" i="2"/>
  <c r="AB98" i="2"/>
  <c r="Y99" i="2"/>
  <c r="G102" i="2"/>
  <c r="W100" i="2"/>
  <c r="U100" i="2"/>
  <c r="V100" i="2"/>
  <c r="X100" i="2"/>
  <c r="T100" i="2"/>
  <c r="P99" i="2" l="1"/>
  <c r="O99" i="2"/>
  <c r="M99" i="2"/>
  <c r="N99" i="2"/>
  <c r="L99" i="2"/>
  <c r="Q98" i="2"/>
  <c r="AF98" i="2"/>
  <c r="AE99" i="2"/>
  <c r="AD99" i="2"/>
  <c r="AA99" i="2"/>
  <c r="AC99" i="2"/>
  <c r="AB99" i="2"/>
  <c r="G103" i="2"/>
  <c r="Y100" i="2"/>
  <c r="X101" i="2"/>
  <c r="T101" i="2"/>
  <c r="V101" i="2"/>
  <c r="W101" i="2"/>
  <c r="U101" i="2"/>
  <c r="O100" i="2" l="1"/>
  <c r="P100" i="2"/>
  <c r="N100" i="2"/>
  <c r="M100" i="2"/>
  <c r="L100" i="2"/>
  <c r="Q99" i="2"/>
  <c r="AF99" i="2"/>
  <c r="AD100" i="2"/>
  <c r="AE100" i="2"/>
  <c r="AA100" i="2"/>
  <c r="AB100" i="2"/>
  <c r="AC100" i="2"/>
  <c r="Y101" i="2"/>
  <c r="G104" i="2"/>
  <c r="W102" i="2"/>
  <c r="V102" i="2"/>
  <c r="T102" i="2"/>
  <c r="X102" i="2"/>
  <c r="U102" i="2"/>
  <c r="O101" i="2" l="1"/>
  <c r="P101" i="2"/>
  <c r="N101" i="2"/>
  <c r="L101" i="2"/>
  <c r="M101" i="2"/>
  <c r="Q100" i="2"/>
  <c r="AD101" i="2"/>
  <c r="AE101" i="2"/>
  <c r="AC101" i="2"/>
  <c r="AB101" i="2"/>
  <c r="AA101" i="2"/>
  <c r="AF100" i="2"/>
  <c r="G105" i="2"/>
  <c r="Y102" i="2"/>
  <c r="X103" i="2"/>
  <c r="T103" i="2"/>
  <c r="V103" i="2"/>
  <c r="W103" i="2"/>
  <c r="U103" i="2"/>
  <c r="P102" i="2" l="1"/>
  <c r="O102" i="2"/>
  <c r="N102" i="2"/>
  <c r="M102" i="2"/>
  <c r="L102" i="2"/>
  <c r="Q101" i="2"/>
  <c r="AD102" i="2"/>
  <c r="AE102" i="2"/>
  <c r="AB102" i="2"/>
  <c r="AA102" i="2"/>
  <c r="AC102" i="2"/>
  <c r="AF101" i="2"/>
  <c r="X104" i="2"/>
  <c r="U104" i="2"/>
  <c r="W104" i="2"/>
  <c r="V104" i="2"/>
  <c r="T104" i="2"/>
  <c r="G106" i="2"/>
  <c r="Y103" i="2"/>
  <c r="P103" i="2" l="1"/>
  <c r="O103" i="2"/>
  <c r="N103" i="2"/>
  <c r="L103" i="2"/>
  <c r="M103" i="2"/>
  <c r="Q102" i="2"/>
  <c r="AE103" i="2"/>
  <c r="AD103" i="2"/>
  <c r="AB103" i="2"/>
  <c r="AA103" i="2"/>
  <c r="AC103" i="2"/>
  <c r="AF102" i="2"/>
  <c r="Y104" i="2"/>
  <c r="X105" i="2"/>
  <c r="W105" i="2"/>
  <c r="U105" i="2"/>
  <c r="V105" i="2"/>
  <c r="T105" i="2"/>
  <c r="G107" i="2"/>
  <c r="P104" i="2" l="1"/>
  <c r="O104" i="2"/>
  <c r="N104" i="2"/>
  <c r="L104" i="2"/>
  <c r="M104" i="2"/>
  <c r="Q103" i="2"/>
  <c r="AF103" i="2"/>
  <c r="AE104" i="2"/>
  <c r="AD104" i="2"/>
  <c r="AC104" i="2"/>
  <c r="AB104" i="2"/>
  <c r="AA104" i="2"/>
  <c r="G108" i="2"/>
  <c r="W106" i="2"/>
  <c r="T106" i="2"/>
  <c r="V106" i="2"/>
  <c r="X106" i="2"/>
  <c r="U106" i="2"/>
  <c r="Y105" i="2"/>
  <c r="O105" i="2" l="1"/>
  <c r="P105" i="2"/>
  <c r="L105" i="2"/>
  <c r="N105" i="2"/>
  <c r="M105" i="2"/>
  <c r="Q104" i="2"/>
  <c r="AE105" i="2"/>
  <c r="AD105" i="2"/>
  <c r="AB105" i="2"/>
  <c r="AA105" i="2"/>
  <c r="AC105" i="2"/>
  <c r="AF104" i="2"/>
  <c r="Y106" i="2"/>
  <c r="G109" i="2"/>
  <c r="W107" i="2"/>
  <c r="U107" i="2"/>
  <c r="V107" i="2"/>
  <c r="T107" i="2"/>
  <c r="X107" i="2"/>
  <c r="P106" i="2" l="1"/>
  <c r="O106" i="2"/>
  <c r="N106" i="2"/>
  <c r="M106" i="2"/>
  <c r="L106" i="2"/>
  <c r="Q105" i="2"/>
  <c r="AF105" i="2"/>
  <c r="AE106" i="2"/>
  <c r="AD106" i="2"/>
  <c r="AB106" i="2"/>
  <c r="AC106" i="2"/>
  <c r="AA106" i="2"/>
  <c r="G110" i="2"/>
  <c r="Y107" i="2"/>
  <c r="W108" i="2"/>
  <c r="U108" i="2"/>
  <c r="X108" i="2"/>
  <c r="V108" i="2"/>
  <c r="T108" i="2"/>
  <c r="O107" i="2" l="1"/>
  <c r="P107" i="2"/>
  <c r="M107" i="2"/>
  <c r="N107" i="2"/>
  <c r="L107" i="2"/>
  <c r="Q106" i="2"/>
  <c r="AF106" i="2"/>
  <c r="AE107" i="2"/>
  <c r="AD107" i="2"/>
  <c r="AA107" i="2"/>
  <c r="AB107" i="2"/>
  <c r="AC107" i="2"/>
  <c r="Y108" i="2"/>
  <c r="G111" i="2"/>
  <c r="W109" i="2"/>
  <c r="U109" i="2"/>
  <c r="V109" i="2"/>
  <c r="X109" i="2"/>
  <c r="T109" i="2"/>
  <c r="P108" i="2" l="1"/>
  <c r="O108" i="2"/>
  <c r="L108" i="2"/>
  <c r="M108" i="2"/>
  <c r="N108" i="2"/>
  <c r="Q107" i="2"/>
  <c r="AD108" i="2"/>
  <c r="AE108" i="2"/>
  <c r="AB108" i="2"/>
  <c r="AC108" i="2"/>
  <c r="AA108" i="2"/>
  <c r="AF107" i="2"/>
  <c r="Y109" i="2"/>
  <c r="G112" i="2"/>
  <c r="W110" i="2"/>
  <c r="U110" i="2"/>
  <c r="V110" i="2"/>
  <c r="X110" i="2"/>
  <c r="T110" i="2"/>
  <c r="O109" i="2" l="1"/>
  <c r="P109" i="2"/>
  <c r="N109" i="2"/>
  <c r="M109" i="2"/>
  <c r="L109" i="2"/>
  <c r="Q108" i="2"/>
  <c r="AE109" i="2"/>
  <c r="AD109" i="2"/>
  <c r="AB109" i="2"/>
  <c r="AC109" i="2"/>
  <c r="AA109" i="2"/>
  <c r="AF108" i="2"/>
  <c r="W111" i="2"/>
  <c r="U111" i="2"/>
  <c r="V111" i="2"/>
  <c r="X111" i="2"/>
  <c r="T111" i="2"/>
  <c r="Y110" i="2"/>
  <c r="P110" i="2" l="1"/>
  <c r="O110" i="2"/>
  <c r="M110" i="2"/>
  <c r="N110" i="2"/>
  <c r="L110" i="2"/>
  <c r="Q109" i="2"/>
  <c r="AE110" i="2"/>
  <c r="AD110" i="2"/>
  <c r="AB110" i="2"/>
  <c r="AA110" i="2"/>
  <c r="AC110" i="2"/>
  <c r="AF109" i="2"/>
  <c r="W112" i="2"/>
  <c r="X112" i="2"/>
  <c r="U112" i="2"/>
  <c r="V112" i="2"/>
  <c r="T112" i="2"/>
  <c r="Y111" i="2"/>
  <c r="P111" i="2" l="1"/>
  <c r="O111" i="2"/>
  <c r="M111" i="2"/>
  <c r="L111" i="2"/>
  <c r="N111" i="2"/>
  <c r="Q110" i="2"/>
  <c r="AF110" i="2"/>
  <c r="AE111" i="2"/>
  <c r="AD111" i="2"/>
  <c r="AC111" i="2"/>
  <c r="AB111" i="2"/>
  <c r="AA111" i="2"/>
  <c r="Y112" i="2"/>
  <c r="P112" i="2" l="1"/>
  <c r="O112" i="2"/>
  <c r="M112" i="2"/>
  <c r="N112" i="2"/>
  <c r="L112" i="2"/>
  <c r="Q111" i="2"/>
  <c r="AF111" i="2"/>
  <c r="AE112" i="2"/>
  <c r="AD112" i="2"/>
  <c r="AA112" i="2"/>
  <c r="AC112" i="2"/>
  <c r="AB112" i="2"/>
  <c r="Q112" i="2" l="1"/>
  <c r="AF112" i="2"/>
  <c r="AF12" i="2"/>
  <c r="L5" i="2" l="1"/>
  <c r="Q5" i="2" s="1"/>
  <c r="B7" i="1" l="1"/>
  <c r="B27" i="1" l="1"/>
  <c r="B20" i="2"/>
  <c r="B21" i="2" s="1"/>
  <c r="B22" i="2" s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</calcChain>
</file>

<file path=xl/comments1.xml><?xml version="1.0" encoding="utf-8"?>
<comments xmlns="http://schemas.openxmlformats.org/spreadsheetml/2006/main">
  <authors>
    <author>Kinnas, Spyros 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Kinnas, Spyros 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<sst xmlns="http://schemas.openxmlformats.org/spreadsheetml/2006/main" count="146" uniqueCount="125">
  <si>
    <t>d/L</t>
  </si>
  <si>
    <t>x</t>
  </si>
  <si>
    <t>f(x)</t>
  </si>
  <si>
    <t>f'(x)</t>
  </si>
  <si>
    <t>x=d/L</t>
  </si>
  <si>
    <t>f'(x)=tanh(2pi*x)+2pi*x/cosh^2(2pi*x)</t>
  </si>
  <si>
    <t>L (m)</t>
  </si>
  <si>
    <r>
      <t>d/L</t>
    </r>
    <r>
      <rPr>
        <vertAlign val="subscript"/>
        <sz val="11"/>
        <color theme="1"/>
        <rFont val="Calibri"/>
        <family val="2"/>
        <scheme val="minor"/>
      </rPr>
      <t>o</t>
    </r>
  </si>
  <si>
    <r>
      <t>d/L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=(d/L)*tanh(2pi*d/L)</t>
    </r>
  </si>
  <si>
    <r>
      <t>f(x)=x*tanh(2pi*x)-x</t>
    </r>
    <r>
      <rPr>
        <vertAlign val="subscript"/>
        <sz val="11"/>
        <color theme="1"/>
        <rFont val="Calibri"/>
        <family val="2"/>
        <scheme val="minor"/>
      </rPr>
      <t>o</t>
    </r>
  </si>
  <si>
    <r>
      <t>x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=d/L</t>
    </r>
    <r>
      <rPr>
        <vertAlign val="subscript"/>
        <sz val="11"/>
        <color theme="1"/>
        <rFont val="Calibri"/>
        <family val="2"/>
        <scheme val="minor"/>
      </rPr>
      <t>o</t>
    </r>
  </si>
  <si>
    <r>
      <t>d=water depth;  T=wave period;  L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=deep water wave length</t>
    </r>
  </si>
  <si>
    <r>
      <t>L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=gT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/(2*pi)</t>
    </r>
  </si>
  <si>
    <t>meters</t>
  </si>
  <si>
    <t>seconds</t>
  </si>
  <si>
    <t>d = input&gt;&gt;</t>
  </si>
  <si>
    <t>T=  input&gt;&gt;</t>
  </si>
  <si>
    <r>
      <t>Newton-Raphson iterative method: x</t>
    </r>
    <r>
      <rPr>
        <vertAlign val="subscript"/>
        <sz val="11"/>
        <color theme="1"/>
        <rFont val="Calibri"/>
        <family val="2"/>
        <scheme val="minor"/>
      </rPr>
      <t>n+1</t>
    </r>
    <r>
      <rPr>
        <sz val="11"/>
        <color theme="1"/>
        <rFont val="Calibri"/>
        <family val="2"/>
        <scheme val="minor"/>
      </rPr>
      <t>=x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-[f(x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)/f'(x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)]</t>
    </r>
  </si>
  <si>
    <t>We wish to solve f(x)=0    or</t>
  </si>
  <si>
    <t>Iter No</t>
  </si>
  <si>
    <t>m/sec</t>
  </si>
  <si>
    <t>Wave Length L:</t>
  </si>
  <si>
    <t>Wave Speed C:</t>
  </si>
  <si>
    <t>Group Vel  Cg:</t>
  </si>
  <si>
    <t>Rho (kg/m^3)</t>
  </si>
  <si>
    <t>Power/crest</t>
  </si>
  <si>
    <t>m</t>
  </si>
  <si>
    <t>kg/m^3</t>
  </si>
  <si>
    <t>kW/m</t>
  </si>
  <si>
    <t>H in deep H2O</t>
  </si>
  <si>
    <t>C in deep H2O</t>
  </si>
  <si>
    <t>Kz_bot=1/cosh(kd)</t>
  </si>
  <si>
    <t>k=2pi/L</t>
  </si>
  <si>
    <t>kd</t>
  </si>
  <si>
    <t>p_bot_min (Pa)</t>
  </si>
  <si>
    <t>p_bot_max (Pa)</t>
  </si>
  <si>
    <t>p_bot_mean (Pa)</t>
  </si>
  <si>
    <t>z_axis (input)</t>
  </si>
  <si>
    <t>tanh(kd)=</t>
  </si>
  <si>
    <t>kd=</t>
  </si>
  <si>
    <t>u_crest_max=</t>
  </si>
  <si>
    <t>u_crest_max/C=</t>
  </si>
  <si>
    <t>z_bot(m)</t>
  </si>
  <si>
    <t>S</t>
  </si>
  <si>
    <t>C</t>
  </si>
  <si>
    <t>A11</t>
  </si>
  <si>
    <t>A22</t>
  </si>
  <si>
    <t>A31</t>
  </si>
  <si>
    <t>A33</t>
  </si>
  <si>
    <t>A42</t>
  </si>
  <si>
    <t>A44</t>
  </si>
  <si>
    <t>A51</t>
  </si>
  <si>
    <t>A53</t>
  </si>
  <si>
    <t>A55</t>
  </si>
  <si>
    <t>a_1</t>
  </si>
  <si>
    <t>a_2</t>
  </si>
  <si>
    <t>a_3</t>
  </si>
  <si>
    <t>a_4</t>
  </si>
  <si>
    <t>a_5</t>
  </si>
  <si>
    <t>C_o</t>
  </si>
  <si>
    <t>C_2</t>
  </si>
  <si>
    <t>C_4</t>
  </si>
  <si>
    <t>kz</t>
  </si>
  <si>
    <t>theta</t>
  </si>
  <si>
    <t>n=1</t>
  </si>
  <si>
    <t>n=2</t>
  </si>
  <si>
    <t>n=3</t>
  </si>
  <si>
    <t>n=4</t>
  </si>
  <si>
    <t>n=5</t>
  </si>
  <si>
    <t>B22</t>
  </si>
  <si>
    <t>B31</t>
  </si>
  <si>
    <t>B42</t>
  </si>
  <si>
    <t>B44</t>
  </si>
  <si>
    <t>B53</t>
  </si>
  <si>
    <t>B55</t>
  </si>
  <si>
    <t>b_1</t>
  </si>
  <si>
    <t>b_2</t>
  </si>
  <si>
    <t>b_3</t>
  </si>
  <si>
    <t>b_4</t>
  </si>
  <si>
    <t>b_5</t>
  </si>
  <si>
    <t>Total u</t>
  </si>
  <si>
    <t>Total eta</t>
  </si>
  <si>
    <t>u velocity</t>
  </si>
  <si>
    <t>Lp(m)</t>
  </si>
  <si>
    <t>Dt (sec)</t>
  </si>
  <si>
    <t>t(sec)</t>
  </si>
  <si>
    <t>eta_lin</t>
  </si>
  <si>
    <t>u_lin</t>
  </si>
  <si>
    <t>H/d</t>
  </si>
  <si>
    <t>&gt;26.32!!</t>
  </si>
  <si>
    <t>Wave Power(kW/m)</t>
  </si>
  <si>
    <t>depth(m)</t>
  </si>
  <si>
    <t>Note: Stokes Theory is INACCURATE if Ursell No=</t>
  </si>
  <si>
    <t>zpoint(m)</t>
  </si>
  <si>
    <t>H(m)</t>
  </si>
  <si>
    <t>(zpoint=vertical distance of point from moving free-surface)</t>
  </si>
  <si>
    <t>C_nonlin(m/sec)</t>
  </si>
  <si>
    <t>eta (m)</t>
  </si>
  <si>
    <t>u on free surface (m/sec)</t>
  </si>
  <si>
    <t>Tp(s) (nonlin)</t>
  </si>
  <si>
    <t>Linear Theory</t>
  </si>
  <si>
    <t>H</t>
  </si>
  <si>
    <t>k (1/m)</t>
  </si>
  <si>
    <t>depth (m)</t>
  </si>
  <si>
    <t>epsilon=pi*H/L</t>
  </si>
  <si>
    <t>umax at zpoint</t>
  </si>
  <si>
    <t>Linear Theory; kept the same as the one in nonlinear theory</t>
  </si>
  <si>
    <t>LINEAR AND STOKES 5th ORDER WAVE TOOL  (Copyright: S.A. Kinnas, 2017)</t>
  </si>
  <si>
    <t xml:space="preserve">   should be  smaller than C_nonlin</t>
  </si>
  <si>
    <t xml:space="preserve">   should be smaller than    0.14</t>
  </si>
  <si>
    <t>H/(gTp^2/2pi)=</t>
  </si>
  <si>
    <t>INPUT ALL VARIABLES (d,T,H,zpoint)  IN SHEET 1!!!!!!!</t>
  </si>
  <si>
    <t>H/L=</t>
  </si>
  <si>
    <t>d/gTp^2=</t>
  </si>
  <si>
    <t>H/gTp^2=</t>
  </si>
  <si>
    <t>T (linear, sec)</t>
  </si>
  <si>
    <t>Copyright: S.A. Kinnas, 2017</t>
  </si>
  <si>
    <t>q_crest (m/sec) =</t>
  </si>
  <si>
    <t>Dtlin(sec)</t>
  </si>
  <si>
    <t>tlin(sec)</t>
  </si>
  <si>
    <t>C_linear (m/sec)</t>
  </si>
  <si>
    <t>Evaluation of eta and u at given point ; using Stokes 5th Order Theory</t>
  </si>
  <si>
    <r>
      <rPr>
        <b/>
        <sz val="11"/>
        <color theme="1"/>
        <rFont val="Symbol"/>
        <family val="1"/>
        <charset val="2"/>
      </rPr>
      <t>w</t>
    </r>
    <r>
      <rPr>
        <b/>
        <sz val="11"/>
        <color theme="1"/>
        <rFont val="Calibri"/>
        <family val="2"/>
        <scheme val="minor"/>
      </rPr>
      <t>_lin(1/s)</t>
    </r>
  </si>
  <si>
    <r>
      <rPr>
        <b/>
        <sz val="11"/>
        <rFont val="Symbol"/>
        <family val="1"/>
        <charset val="2"/>
      </rPr>
      <t>w</t>
    </r>
    <r>
      <rPr>
        <b/>
        <sz val="11"/>
        <rFont val="Calibri"/>
        <family val="2"/>
        <scheme val="minor"/>
      </rPr>
      <t>_nonlin(1/s)</t>
    </r>
  </si>
  <si>
    <t>INPUT ONLY VALUES IN PURPLE!!!!!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</si>
</sst>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0"/>
    <numFmt numFmtId="165" formatCode="0.00000000"/>
    <numFmt numFmtId="166" formatCode="0.000000"/>
    <numFmt numFmtId="167" formatCode="0.0000"/>
    <numFmt numFmtId="168" formatCode="0.000"/>
    <numFmt numFmtId="169" formatCode="0.0%"/>
    <numFmt numFmtId="170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name val="Calibri"/>
      <family val="2"/>
      <scheme val="minor"/>
    </font>
    <font>
      <b/>
      <sz val="11"/>
      <name val="Symbol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1" xfId="0" applyNumberFormat="1" applyBorder="1"/>
    <xf numFmtId="165" fontId="0" fillId="0" borderId="2" xfId="0" applyNumberFormat="1" applyBorder="1"/>
    <xf numFmtId="0" fontId="0" fillId="3" borderId="5" xfId="0" applyFill="1" applyBorder="1"/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2" fontId="0" fillId="3" borderId="7" xfId="0" applyNumberFormat="1" applyFill="1" applyBorder="1" applyAlignment="1">
      <alignment horizontal="right"/>
    </xf>
    <xf numFmtId="0" fontId="1" fillId="2" borderId="8" xfId="0" applyFont="1" applyFill="1" applyBorder="1"/>
    <xf numFmtId="2" fontId="1" fillId="2" borderId="9" xfId="0" applyNumberFormat="1" applyFont="1" applyFill="1" applyBorder="1"/>
    <xf numFmtId="0" fontId="0" fillId="4" borderId="5" xfId="0" applyFill="1" applyBorder="1"/>
    <xf numFmtId="2" fontId="0" fillId="4" borderId="7" xfId="0" applyNumberFormat="1" applyFill="1" applyBorder="1"/>
    <xf numFmtId="3" fontId="0" fillId="0" borderId="0" xfId="0" applyNumberFormat="1"/>
    <xf numFmtId="2" fontId="0" fillId="0" borderId="0" xfId="0" applyNumberFormat="1"/>
    <xf numFmtId="1" fontId="0" fillId="0" borderId="0" xfId="0" applyNumberFormat="1"/>
    <xf numFmtId="167" fontId="0" fillId="0" borderId="0" xfId="0" applyNumberFormat="1"/>
    <xf numFmtId="0" fontId="0" fillId="0" borderId="0" xfId="0" applyAlignment="1">
      <alignment horizontal="right"/>
    </xf>
    <xf numFmtId="0" fontId="9" fillId="0" borderId="0" xfId="0" applyFont="1"/>
    <xf numFmtId="168" fontId="0" fillId="0" borderId="0" xfId="0" applyNumberFormat="1" applyAlignment="1">
      <alignment horizontal="left"/>
    </xf>
    <xf numFmtId="0" fontId="0" fillId="0" borderId="7" xfId="0" applyBorder="1"/>
    <xf numFmtId="169" fontId="0" fillId="0" borderId="6" xfId="1" applyNumberFormat="1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" xfId="0" applyBorder="1"/>
    <xf numFmtId="0" fontId="3" fillId="0" borderId="0" xfId="0" applyFont="1" applyFill="1" applyBorder="1"/>
    <xf numFmtId="0" fontId="0" fillId="0" borderId="0" xfId="0" applyFill="1" applyBorder="1"/>
    <xf numFmtId="170" fontId="3" fillId="2" borderId="7" xfId="0" applyNumberFormat="1" applyFont="1" applyFill="1" applyBorder="1" applyAlignment="1">
      <alignment horizontal="center"/>
    </xf>
    <xf numFmtId="0" fontId="0" fillId="0" borderId="10" xfId="0" applyBorder="1"/>
    <xf numFmtId="0" fontId="3" fillId="2" borderId="5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right"/>
    </xf>
    <xf numFmtId="0" fontId="1" fillId="6" borderId="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/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0" fillId="0" borderId="0" xfId="0" applyFill="1"/>
    <xf numFmtId="0" fontId="3" fillId="2" borderId="6" xfId="0" applyFont="1" applyFill="1" applyBorder="1" applyAlignment="1"/>
    <xf numFmtId="17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2" borderId="7" xfId="0" applyFill="1" applyBorder="1"/>
    <xf numFmtId="0" fontId="0" fillId="0" borderId="1" xfId="0" applyFill="1" applyBorder="1"/>
    <xf numFmtId="2" fontId="0" fillId="0" borderId="1" xfId="0" applyNumberFormat="1" applyFill="1" applyBorder="1"/>
    <xf numFmtId="0" fontId="0" fillId="2" borderId="0" xfId="0" applyFill="1"/>
    <xf numFmtId="0" fontId="4" fillId="2" borderId="0" xfId="0" applyFont="1" applyFill="1"/>
    <xf numFmtId="0" fontId="10" fillId="0" borderId="0" xfId="0" applyFont="1"/>
    <xf numFmtId="0" fontId="10" fillId="2" borderId="5" xfId="0" applyFont="1" applyFill="1" applyBorder="1"/>
    <xf numFmtId="2" fontId="10" fillId="2" borderId="12" xfId="0" applyNumberFormat="1" applyFont="1" applyFill="1" applyBorder="1"/>
    <xf numFmtId="14" fontId="1" fillId="0" borderId="0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 applyAlignment="1"/>
    <xf numFmtId="0" fontId="1" fillId="2" borderId="9" xfId="0" applyFont="1" applyFill="1" applyBorder="1"/>
    <xf numFmtId="166" fontId="0" fillId="0" borderId="2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2" fontId="0" fillId="3" borderId="7" xfId="0" applyNumberFormat="1" applyFill="1" applyBorder="1" applyAlignment="1">
      <alignment horizontal="left" vertical="top"/>
    </xf>
    <xf numFmtId="2" fontId="0" fillId="4" borderId="7" xfId="0" applyNumberFormat="1" applyFill="1" applyBorder="1" applyAlignment="1">
      <alignment horizontal="left" vertical="top"/>
    </xf>
    <xf numFmtId="0" fontId="0" fillId="8" borderId="1" xfId="0" applyFill="1" applyBorder="1"/>
    <xf numFmtId="2" fontId="0" fillId="8" borderId="1" xfId="0" applyNumberFormat="1" applyFill="1" applyBorder="1"/>
    <xf numFmtId="0" fontId="0" fillId="0" borderId="1" xfId="0" applyBorder="1" applyAlignment="1">
      <alignment horizontal="center" vertical="center"/>
    </xf>
    <xf numFmtId="0" fontId="0" fillId="4" borderId="1" xfId="0" applyFill="1" applyBorder="1"/>
    <xf numFmtId="0" fontId="0" fillId="9" borderId="1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3" xfId="0" applyFill="1" applyBorder="1"/>
    <xf numFmtId="0" fontId="0" fillId="5" borderId="6" xfId="0" applyFill="1" applyBorder="1"/>
    <xf numFmtId="0" fontId="0" fillId="0" borderId="5" xfId="0" applyBorder="1" applyAlignment="1">
      <alignment horizontal="right"/>
    </xf>
    <xf numFmtId="168" fontId="0" fillId="0" borderId="6" xfId="0" applyNumberFormat="1" applyBorder="1" applyAlignment="1">
      <alignment horizontal="left"/>
    </xf>
    <xf numFmtId="0" fontId="0" fillId="0" borderId="5" xfId="0" applyFill="1" applyBorder="1"/>
    <xf numFmtId="168" fontId="0" fillId="0" borderId="7" xfId="0" applyNumberFormat="1" applyFill="1" applyBorder="1"/>
    <xf numFmtId="2" fontId="0" fillId="0" borderId="7" xfId="0" applyNumberFormat="1" applyFill="1" applyBorder="1"/>
    <xf numFmtId="0" fontId="0" fillId="0" borderId="6" xfId="0" applyFill="1" applyBorder="1"/>
    <xf numFmtId="0" fontId="0" fillId="10" borderId="5" xfId="0" applyFill="1" applyBorder="1"/>
    <xf numFmtId="2" fontId="0" fillId="10" borderId="7" xfId="0" applyNumberFormat="1" applyFill="1" applyBorder="1"/>
    <xf numFmtId="0" fontId="0" fillId="10" borderId="6" xfId="0" applyFill="1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1" fontId="0" fillId="0" borderId="16" xfId="0" applyNumberFormat="1" applyBorder="1"/>
    <xf numFmtId="0" fontId="0" fillId="0" borderId="17" xfId="0" applyBorder="1"/>
    <xf numFmtId="1" fontId="0" fillId="0" borderId="19" xfId="0" applyNumberFormat="1" applyBorder="1"/>
    <xf numFmtId="0" fontId="0" fillId="0" borderId="8" xfId="0" applyBorder="1"/>
    <xf numFmtId="2" fontId="0" fillId="0" borderId="9" xfId="0" applyNumberFormat="1" applyBorder="1"/>
    <xf numFmtId="0" fontId="0" fillId="0" borderId="23" xfId="0" applyBorder="1"/>
    <xf numFmtId="0" fontId="0" fillId="0" borderId="24" xfId="0" applyBorder="1"/>
    <xf numFmtId="2" fontId="0" fillId="0" borderId="25" xfId="0" applyNumberFormat="1" applyBorder="1"/>
    <xf numFmtId="0" fontId="0" fillId="0" borderId="26" xfId="0" applyBorder="1"/>
    <xf numFmtId="0" fontId="10" fillId="8" borderId="1" xfId="0" applyFont="1" applyFill="1" applyBorder="1" applyAlignment="1"/>
    <xf numFmtId="0" fontId="10" fillId="8" borderId="1" xfId="0" applyFont="1" applyFill="1" applyBorder="1" applyAlignment="1">
      <alignment horizontal="right"/>
    </xf>
    <xf numFmtId="0" fontId="10" fillId="8" borderId="2" xfId="0" applyFont="1" applyFill="1" applyBorder="1" applyAlignment="1"/>
    <xf numFmtId="0" fontId="10" fillId="8" borderId="2" xfId="0" applyFont="1" applyFill="1" applyBorder="1" applyAlignment="1">
      <alignment horizontal="right"/>
    </xf>
    <xf numFmtId="0" fontId="11" fillId="2" borderId="0" xfId="0" applyFont="1" applyFill="1"/>
    <xf numFmtId="0" fontId="3" fillId="2" borderId="7" xfId="0" applyFont="1" applyFill="1" applyBorder="1"/>
    <xf numFmtId="2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/>
    <xf numFmtId="0" fontId="1" fillId="0" borderId="0" xfId="0" applyFont="1" applyFill="1" applyBorder="1" applyAlignment="1">
      <alignment horizontal="right"/>
    </xf>
    <xf numFmtId="0" fontId="0" fillId="0" borderId="27" xfId="0" applyBorder="1" applyAlignment="1">
      <alignment horizontal="right" vertical="center"/>
    </xf>
    <xf numFmtId="2" fontId="0" fillId="0" borderId="22" xfId="0" applyNumberFormat="1" applyBorder="1" applyAlignment="1">
      <alignment horizontal="left" vertical="center"/>
    </xf>
    <xf numFmtId="167" fontId="0" fillId="0" borderId="22" xfId="0" applyNumberFormat="1" applyBorder="1" applyAlignment="1">
      <alignment horizontal="left"/>
    </xf>
    <xf numFmtId="167" fontId="0" fillId="0" borderId="19" xfId="0" applyNumberForma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/>
    <xf numFmtId="0" fontId="0" fillId="0" borderId="28" xfId="0" applyBorder="1" applyAlignment="1">
      <alignment horizontal="right" vertical="center"/>
    </xf>
    <xf numFmtId="2" fontId="0" fillId="0" borderId="29" xfId="0" applyNumberFormat="1" applyBorder="1" applyAlignment="1">
      <alignment horizontal="left"/>
    </xf>
    <xf numFmtId="0" fontId="0" fillId="0" borderId="30" xfId="0" applyBorder="1" applyAlignment="1">
      <alignment horizontal="right"/>
    </xf>
    <xf numFmtId="168" fontId="0" fillId="0" borderId="31" xfId="0" applyNumberFormat="1" applyBorder="1" applyAlignment="1">
      <alignment horizontal="left"/>
    </xf>
    <xf numFmtId="0" fontId="1" fillId="0" borderId="15" xfId="0" applyFont="1" applyBorder="1"/>
    <xf numFmtId="2" fontId="1" fillId="0" borderId="16" xfId="0" applyNumberFormat="1" applyFont="1" applyBorder="1"/>
    <xf numFmtId="2" fontId="3" fillId="2" borderId="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0" fontId="1" fillId="0" borderId="15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21" xfId="0" applyFont="1" applyFill="1" applyBorder="1"/>
    <xf numFmtId="2" fontId="1" fillId="0" borderId="22" xfId="0" applyNumberFormat="1" applyFont="1" applyFill="1" applyBorder="1"/>
    <xf numFmtId="0" fontId="1" fillId="0" borderId="16" xfId="0" applyFont="1" applyBorder="1"/>
    <xf numFmtId="0" fontId="16" fillId="0" borderId="17" xfId="0" applyFont="1" applyFill="1" applyBorder="1"/>
    <xf numFmtId="167" fontId="16" fillId="0" borderId="19" xfId="0" applyNumberFormat="1" applyFont="1" applyFill="1" applyBorder="1"/>
    <xf numFmtId="168" fontId="3" fillId="2" borderId="7" xfId="0" applyNumberFormat="1" applyFont="1" applyFill="1" applyBorder="1" applyAlignment="1">
      <alignment horizontal="center"/>
    </xf>
    <xf numFmtId="164" fontId="0" fillId="6" borderId="15" xfId="0" applyNumberFormat="1" applyFill="1" applyBorder="1"/>
    <xf numFmtId="164" fontId="0" fillId="6" borderId="1" xfId="0" applyNumberFormat="1" applyFill="1" applyBorder="1"/>
    <xf numFmtId="164" fontId="0" fillId="6" borderId="16" xfId="0" applyNumberFormat="1" applyFill="1" applyBorder="1"/>
    <xf numFmtId="164" fontId="0" fillId="6" borderId="18" xfId="0" applyNumberFormat="1" applyFill="1" applyBorder="1"/>
    <xf numFmtId="164" fontId="0" fillId="6" borderId="19" xfId="0" applyNumberFormat="1" applyFill="1" applyBorder="1"/>
    <xf numFmtId="167" fontId="0" fillId="7" borderId="15" xfId="0" applyNumberFormat="1" applyFill="1" applyBorder="1"/>
    <xf numFmtId="167" fontId="0" fillId="7" borderId="1" xfId="0" applyNumberFormat="1" applyFill="1" applyBorder="1"/>
    <xf numFmtId="167" fontId="0" fillId="7" borderId="16" xfId="0" applyNumberFormat="1" applyFill="1" applyBorder="1"/>
    <xf numFmtId="167" fontId="0" fillId="7" borderId="17" xfId="0" applyNumberFormat="1" applyFill="1" applyBorder="1"/>
    <xf numFmtId="167" fontId="0" fillId="7" borderId="18" xfId="0" applyNumberFormat="1" applyFill="1" applyBorder="1"/>
    <xf numFmtId="167" fontId="0" fillId="7" borderId="19" xfId="0" applyNumberFormat="1" applyFill="1" applyBorder="1"/>
    <xf numFmtId="167" fontId="0" fillId="0" borderId="1" xfId="0" applyNumberFormat="1" applyBorder="1"/>
    <xf numFmtId="164" fontId="0" fillId="6" borderId="17" xfId="0" applyNumberFormat="1" applyFill="1" applyBorder="1"/>
    <xf numFmtId="0" fontId="0" fillId="0" borderId="10" xfId="0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64" fontId="0" fillId="0" borderId="21" xfId="0" applyNumberFormat="1" applyBorder="1"/>
    <xf numFmtId="164" fontId="0" fillId="0" borderId="33" xfId="0" applyNumberFormat="1" applyBorder="1"/>
    <xf numFmtId="164" fontId="0" fillId="0" borderId="22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0" fontId="1" fillId="11" borderId="21" xfId="0" applyFont="1" applyFill="1" applyBorder="1"/>
    <xf numFmtId="0" fontId="1" fillId="11" borderId="22" xfId="0" applyFont="1" applyFill="1" applyBorder="1"/>
    <xf numFmtId="0" fontId="1" fillId="11" borderId="15" xfId="0" applyFont="1" applyFill="1" applyBorder="1"/>
    <xf numFmtId="0" fontId="1" fillId="11" borderId="16" xfId="0" applyFont="1" applyFill="1" applyBorder="1"/>
    <xf numFmtId="0" fontId="1" fillId="11" borderId="17" xfId="0" applyFont="1" applyFill="1" applyBorder="1"/>
    <xf numFmtId="0" fontId="1" fillId="11" borderId="19" xfId="0" applyFont="1" applyFill="1" applyBorder="1"/>
    <xf numFmtId="0" fontId="10" fillId="11" borderId="7" xfId="0" applyFont="1" applyFill="1" applyBorder="1"/>
    <xf numFmtId="0" fontId="10" fillId="11" borderId="12" xfId="0" applyFont="1" applyFill="1" applyBorder="1"/>
    <xf numFmtId="0" fontId="16" fillId="11" borderId="5" xfId="0" applyFont="1" applyFill="1" applyBorder="1"/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7" borderId="5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4" fontId="1" fillId="0" borderId="32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FF"/>
      <color rgb="FF45F95A"/>
      <color rgb="FFD1FFF4"/>
      <color rgb="FFFFFF99"/>
      <color rgb="FFCCFF33"/>
      <color rgb="FFFFFFCC"/>
      <color rgb="FFD1F7FF"/>
      <color rgb="FFD9FAFF"/>
      <color rgb="FFD1D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63430282655323"/>
          <c:y val="0.12984759969519938"/>
          <c:w val="0.83000313355955169"/>
          <c:h val="0.75178703468518049"/>
        </c:manualLayout>
      </c:layout>
      <c:scatterChart>
        <c:scatterStyle val="lineMarker"/>
        <c:varyColors val="0"/>
        <c:ser>
          <c:idx val="2"/>
          <c:order val="0"/>
          <c:tx>
            <c:v>eta vs. theta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Sheet1!$H$12:$H$112</c:f>
              <c:numCache>
                <c:formatCode>0.0000</c:formatCode>
                <c:ptCount val="101"/>
                <c:pt idx="0" formatCode="General">
                  <c:v>0</c:v>
                </c:pt>
                <c:pt idx="1">
                  <c:v>6.2831853071795868E-2</c:v>
                </c:pt>
                <c:pt idx="2">
                  <c:v>0.12566370614359174</c:v>
                </c:pt>
                <c:pt idx="3">
                  <c:v>0.1884955592153876</c:v>
                </c:pt>
                <c:pt idx="4">
                  <c:v>0.25132741228718347</c:v>
                </c:pt>
                <c:pt idx="5">
                  <c:v>0.31415926535897931</c:v>
                </c:pt>
                <c:pt idx="6">
                  <c:v>0.37699111843077515</c:v>
                </c:pt>
                <c:pt idx="7">
                  <c:v>0.43982297150257099</c:v>
                </c:pt>
                <c:pt idx="8">
                  <c:v>0.50265482457436683</c:v>
                </c:pt>
                <c:pt idx="9">
                  <c:v>0.56548667764616267</c:v>
                </c:pt>
                <c:pt idx="10">
                  <c:v>0.62831853071795851</c:v>
                </c:pt>
                <c:pt idx="11">
                  <c:v>0.69115038378975435</c:v>
                </c:pt>
                <c:pt idx="12">
                  <c:v>0.75398223686155019</c:v>
                </c:pt>
                <c:pt idx="13">
                  <c:v>0.81681408993334603</c:v>
                </c:pt>
                <c:pt idx="14">
                  <c:v>0.87964594300514187</c:v>
                </c:pt>
                <c:pt idx="15">
                  <c:v>0.94247779607693771</c:v>
                </c:pt>
                <c:pt idx="16">
                  <c:v>1.0053096491487337</c:v>
                </c:pt>
                <c:pt idx="17">
                  <c:v>1.0681415022205296</c:v>
                </c:pt>
                <c:pt idx="18">
                  <c:v>1.1309733552923256</c:v>
                </c:pt>
                <c:pt idx="19">
                  <c:v>1.1938052083641215</c:v>
                </c:pt>
                <c:pt idx="20">
                  <c:v>1.2566370614359175</c:v>
                </c:pt>
                <c:pt idx="21">
                  <c:v>1.3194689145077134</c:v>
                </c:pt>
                <c:pt idx="22">
                  <c:v>1.3823007675795094</c:v>
                </c:pt>
                <c:pt idx="23">
                  <c:v>1.4451326206513053</c:v>
                </c:pt>
                <c:pt idx="24">
                  <c:v>1.5079644737231013</c:v>
                </c:pt>
                <c:pt idx="25">
                  <c:v>1.5707963267948972</c:v>
                </c:pt>
                <c:pt idx="26">
                  <c:v>1.6336281798666932</c:v>
                </c:pt>
                <c:pt idx="27">
                  <c:v>1.6964600329384891</c:v>
                </c:pt>
                <c:pt idx="28">
                  <c:v>1.7592918860102851</c:v>
                </c:pt>
                <c:pt idx="29">
                  <c:v>1.822123739082081</c:v>
                </c:pt>
                <c:pt idx="30">
                  <c:v>1.884955592153877</c:v>
                </c:pt>
                <c:pt idx="31">
                  <c:v>1.9477874452256729</c:v>
                </c:pt>
                <c:pt idx="32">
                  <c:v>2.0106192982974687</c:v>
                </c:pt>
                <c:pt idx="33">
                  <c:v>2.0734511513692646</c:v>
                </c:pt>
                <c:pt idx="34">
                  <c:v>2.1362830044410606</c:v>
                </c:pt>
                <c:pt idx="35">
                  <c:v>2.1991148575128565</c:v>
                </c:pt>
                <c:pt idx="36">
                  <c:v>2.2619467105846525</c:v>
                </c:pt>
                <c:pt idx="37">
                  <c:v>2.3247785636564484</c:v>
                </c:pt>
                <c:pt idx="38">
                  <c:v>2.3876104167282444</c:v>
                </c:pt>
                <c:pt idx="39">
                  <c:v>2.4504422698000403</c:v>
                </c:pt>
                <c:pt idx="40">
                  <c:v>2.5132741228718363</c:v>
                </c:pt>
                <c:pt idx="41">
                  <c:v>2.5761059759436322</c:v>
                </c:pt>
                <c:pt idx="42">
                  <c:v>2.6389378290154282</c:v>
                </c:pt>
                <c:pt idx="43">
                  <c:v>2.7017696820872241</c:v>
                </c:pt>
                <c:pt idx="44">
                  <c:v>2.7646015351590201</c:v>
                </c:pt>
                <c:pt idx="45">
                  <c:v>2.827433388230816</c:v>
                </c:pt>
                <c:pt idx="46">
                  <c:v>2.890265241302612</c:v>
                </c:pt>
                <c:pt idx="47">
                  <c:v>2.9530970943744079</c:v>
                </c:pt>
                <c:pt idx="48">
                  <c:v>3.0159289474462039</c:v>
                </c:pt>
                <c:pt idx="49">
                  <c:v>3.0787608005179998</c:v>
                </c:pt>
                <c:pt idx="50">
                  <c:v>3.1415926535897958</c:v>
                </c:pt>
                <c:pt idx="51">
                  <c:v>3.2044245066615917</c:v>
                </c:pt>
                <c:pt idx="52">
                  <c:v>3.2672563597333877</c:v>
                </c:pt>
                <c:pt idx="53">
                  <c:v>3.3300882128051836</c:v>
                </c:pt>
                <c:pt idx="54">
                  <c:v>3.3929200658769796</c:v>
                </c:pt>
                <c:pt idx="55">
                  <c:v>3.4557519189487755</c:v>
                </c:pt>
                <c:pt idx="56">
                  <c:v>3.5185837720205715</c:v>
                </c:pt>
                <c:pt idx="57">
                  <c:v>3.5814156250923674</c:v>
                </c:pt>
                <c:pt idx="58">
                  <c:v>3.6442474781641634</c:v>
                </c:pt>
                <c:pt idx="59">
                  <c:v>3.7070793312359593</c:v>
                </c:pt>
                <c:pt idx="60">
                  <c:v>3.7699111843077553</c:v>
                </c:pt>
                <c:pt idx="61">
                  <c:v>3.8327430373795512</c:v>
                </c:pt>
                <c:pt idx="62">
                  <c:v>3.8955748904513472</c:v>
                </c:pt>
                <c:pt idx="63">
                  <c:v>3.9584067435231431</c:v>
                </c:pt>
                <c:pt idx="64">
                  <c:v>4.0212385965949391</c:v>
                </c:pt>
                <c:pt idx="65">
                  <c:v>4.0840704496667346</c:v>
                </c:pt>
                <c:pt idx="66">
                  <c:v>4.1469023027385301</c:v>
                </c:pt>
                <c:pt idx="67">
                  <c:v>4.2097341558103256</c:v>
                </c:pt>
                <c:pt idx="68">
                  <c:v>4.2725660088821211</c:v>
                </c:pt>
                <c:pt idx="69">
                  <c:v>4.3353978619539166</c:v>
                </c:pt>
                <c:pt idx="70">
                  <c:v>4.3982297150257121</c:v>
                </c:pt>
                <c:pt idx="71">
                  <c:v>4.4610615680975076</c:v>
                </c:pt>
                <c:pt idx="72">
                  <c:v>4.5238934211693032</c:v>
                </c:pt>
                <c:pt idx="73">
                  <c:v>4.5867252742410987</c:v>
                </c:pt>
                <c:pt idx="74">
                  <c:v>4.6495571273128942</c:v>
                </c:pt>
                <c:pt idx="75">
                  <c:v>4.7123889803846897</c:v>
                </c:pt>
                <c:pt idx="76">
                  <c:v>4.7752208334564852</c:v>
                </c:pt>
                <c:pt idx="77">
                  <c:v>4.8380526865282807</c:v>
                </c:pt>
                <c:pt idx="78">
                  <c:v>4.9008845396000762</c:v>
                </c:pt>
                <c:pt idx="79">
                  <c:v>4.9637163926718717</c:v>
                </c:pt>
                <c:pt idx="80">
                  <c:v>5.0265482457436672</c:v>
                </c:pt>
                <c:pt idx="81">
                  <c:v>5.0893800988154627</c:v>
                </c:pt>
                <c:pt idx="82">
                  <c:v>5.1522119518872582</c:v>
                </c:pt>
                <c:pt idx="83">
                  <c:v>5.2150438049590537</c:v>
                </c:pt>
                <c:pt idx="84">
                  <c:v>5.2778756580308492</c:v>
                </c:pt>
                <c:pt idx="85">
                  <c:v>5.3407075111026447</c:v>
                </c:pt>
                <c:pt idx="86">
                  <c:v>5.4035393641744403</c:v>
                </c:pt>
                <c:pt idx="87">
                  <c:v>5.4663712172462358</c:v>
                </c:pt>
                <c:pt idx="88">
                  <c:v>5.5292030703180313</c:v>
                </c:pt>
                <c:pt idx="89">
                  <c:v>5.5920349233898268</c:v>
                </c:pt>
                <c:pt idx="90">
                  <c:v>5.6548667764616223</c:v>
                </c:pt>
                <c:pt idx="91">
                  <c:v>5.7176986295334178</c:v>
                </c:pt>
                <c:pt idx="92">
                  <c:v>5.7805304826052133</c:v>
                </c:pt>
                <c:pt idx="93">
                  <c:v>5.8433623356770088</c:v>
                </c:pt>
                <c:pt idx="94">
                  <c:v>5.9061941887488043</c:v>
                </c:pt>
                <c:pt idx="95">
                  <c:v>5.9690260418205998</c:v>
                </c:pt>
                <c:pt idx="96">
                  <c:v>6.0318578948923953</c:v>
                </c:pt>
                <c:pt idx="97">
                  <c:v>6.0946897479641908</c:v>
                </c:pt>
                <c:pt idx="98">
                  <c:v>6.1575216010359863</c:v>
                </c:pt>
                <c:pt idx="99">
                  <c:v>6.2203534541077818</c:v>
                </c:pt>
                <c:pt idx="100">
                  <c:v>6.2831853071795774</c:v>
                </c:pt>
              </c:numCache>
            </c:numRef>
          </c:xVal>
          <c:yVal>
            <c:numRef>
              <c:f>Sheet1!$Y$12:$Y$112</c:f>
              <c:numCache>
                <c:formatCode>0.00000</c:formatCode>
                <c:ptCount val="101"/>
                <c:pt idx="0">
                  <c:v>7.4819067779195088</c:v>
                </c:pt>
                <c:pt idx="1">
                  <c:v>7.4298297723534867</c:v>
                </c:pt>
                <c:pt idx="2">
                  <c:v>7.2755735518206235</c:v>
                </c:pt>
                <c:pt idx="3">
                  <c:v>7.024940123176151</c:v>
                </c:pt>
                <c:pt idx="4">
                  <c:v>6.6872009306624802</c:v>
                </c:pt>
                <c:pt idx="5">
                  <c:v>6.2745310090578945</c:v>
                </c:pt>
                <c:pt idx="6">
                  <c:v>5.8012780093296259</c:v>
                </c:pt>
                <c:pt idx="7">
                  <c:v>5.2831210387523004</c:v>
                </c:pt>
                <c:pt idx="8">
                  <c:v>4.7361816335280622</c:v>
                </c:pt>
                <c:pt idx="9">
                  <c:v>4.1761513631905709</c:v>
                </c:pt>
                <c:pt idx="10">
                  <c:v>3.6174974392368631</c:v>
                </c:pt>
                <c:pt idx="11">
                  <c:v>3.0727996203503447</c:v>
                </c:pt>
                <c:pt idx="12">
                  <c:v>2.5522594595882393</c:v>
                </c:pt>
                <c:pt idx="13">
                  <c:v>2.0634076669366732</c:v>
                </c:pt>
                <c:pt idx="14">
                  <c:v>1.6110184533592125</c:v>
                </c:pt>
                <c:pt idx="15">
                  <c:v>1.1972226877954719</c:v>
                </c:pt>
                <c:pt idx="16">
                  <c:v>0.82179602378111338</c:v>
                </c:pt>
                <c:pt idx="17">
                  <c:v>0.48258516890322667</c:v>
                </c:pt>
                <c:pt idx="18">
                  <c:v>0.17602623489913158</c:v>
                </c:pt>
                <c:pt idx="19">
                  <c:v>-0.10229569076392706</c:v>
                </c:pt>
                <c:pt idx="20">
                  <c:v>-0.35709670154803153</c:v>
                </c:pt>
                <c:pt idx="21">
                  <c:v>-0.5929004607168733</c:v>
                </c:pt>
                <c:pt idx="22">
                  <c:v>-0.81363892689872375</c:v>
                </c:pt>
                <c:pt idx="23">
                  <c:v>-1.0223740985889767</c:v>
                </c:pt>
                <c:pt idx="24">
                  <c:v>-1.2211541986805545</c:v>
                </c:pt>
                <c:pt idx="25">
                  <c:v>-1.4110039387848636</c:v>
                </c:pt>
                <c:pt idx="26">
                  <c:v>-1.5920355269829498</c:v>
                </c:pt>
                <c:pt idx="27">
                  <c:v>-1.7636561172340575</c:v>
                </c:pt>
                <c:pt idx="28">
                  <c:v>-1.9248394171762873</c:v>
                </c:pt>
                <c:pt idx="29">
                  <c:v>-2.0744248265856551</c:v>
                </c:pt>
                <c:pt idx="30">
                  <c:v>-2.2114070492331774</c:v>
                </c:pt>
                <c:pt idx="31">
                  <c:v>-2.3351824914854338</c:v>
                </c:pt>
                <c:pt idx="32">
                  <c:v>-2.4457254452996922</c:v>
                </c:pt>
                <c:pt idx="33">
                  <c:v>-2.5436762502840589</c:v>
                </c:pt>
                <c:pt idx="34">
                  <c:v>-2.6303343105631045</c:v>
                </c:pt>
                <c:pt idx="35">
                  <c:v>-2.7075598586508414</c:v>
                </c:pt>
                <c:pt idx="36">
                  <c:v>-2.7775985592815089</c:v>
                </c:pt>
                <c:pt idx="37">
                  <c:v>-2.8428513932827735</c:v>
                </c:pt>
                <c:pt idx="38">
                  <c:v>-2.9056179326974538</c:v>
                </c:pt>
                <c:pt idx="39">
                  <c:v>-2.9678435855365235</c:v>
                </c:pt>
                <c:pt idx="40">
                  <c:v>-3.0309004663751669</c:v>
                </c:pt>
                <c:pt idx="41">
                  <c:v>-3.0954274073687031</c:v>
                </c:pt>
                <c:pt idx="42">
                  <c:v>-3.1612477649457098</c:v>
                </c:pt>
                <c:pt idx="43">
                  <c:v>-3.2273748773472888</c:v>
                </c:pt>
                <c:pt idx="44">
                  <c:v>-3.2921052553402199</c:v>
                </c:pt>
                <c:pt idx="45">
                  <c:v>-3.3531898994176652</c:v>
                </c:pt>
                <c:pt idx="46">
                  <c:v>-3.4080655662841015</c:v>
                </c:pt>
                <c:pt idx="47">
                  <c:v>-3.4541212610312035</c:v>
                </c:pt>
                <c:pt idx="48">
                  <c:v>-3.4889713928181973</c:v>
                </c:pt>
                <c:pt idx="49">
                  <c:v>-3.5107062934372917</c:v>
                </c:pt>
                <c:pt idx="50">
                  <c:v>-3.5180932220804917</c:v>
                </c:pt>
                <c:pt idx="51">
                  <c:v>-3.5107062934372912</c:v>
                </c:pt>
                <c:pt idx="52">
                  <c:v>-3.4889713928181951</c:v>
                </c:pt>
                <c:pt idx="53">
                  <c:v>-3.4541212610311995</c:v>
                </c:pt>
                <c:pt idx="54">
                  <c:v>-3.4080655662840966</c:v>
                </c:pt>
                <c:pt idx="55">
                  <c:v>-3.3531898994176603</c:v>
                </c:pt>
                <c:pt idx="56">
                  <c:v>-3.2921052553402159</c:v>
                </c:pt>
                <c:pt idx="57">
                  <c:v>-3.227374877347283</c:v>
                </c:pt>
                <c:pt idx="58">
                  <c:v>-3.1612477649457058</c:v>
                </c:pt>
                <c:pt idx="59">
                  <c:v>-3.0954274073686987</c:v>
                </c:pt>
                <c:pt idx="60">
                  <c:v>-3.0309004663751606</c:v>
                </c:pt>
                <c:pt idx="61">
                  <c:v>-2.9678435855365186</c:v>
                </c:pt>
                <c:pt idx="62">
                  <c:v>-2.9056179326974481</c:v>
                </c:pt>
                <c:pt idx="63">
                  <c:v>-2.8428513932827681</c:v>
                </c:pt>
                <c:pt idx="64">
                  <c:v>-2.7775985592815036</c:v>
                </c:pt>
                <c:pt idx="65">
                  <c:v>-2.7075598586508351</c:v>
                </c:pt>
                <c:pt idx="66">
                  <c:v>-2.6303343105630996</c:v>
                </c:pt>
                <c:pt idx="67">
                  <c:v>-2.5436762502840535</c:v>
                </c:pt>
                <c:pt idx="68">
                  <c:v>-2.4457254452996868</c:v>
                </c:pt>
                <c:pt idx="69">
                  <c:v>-2.3351824914854276</c:v>
                </c:pt>
                <c:pt idx="70">
                  <c:v>-2.2114070492331721</c:v>
                </c:pt>
                <c:pt idx="71">
                  <c:v>-2.0744248265856502</c:v>
                </c:pt>
                <c:pt idx="72">
                  <c:v>-1.924839417176283</c:v>
                </c:pt>
                <c:pt idx="73">
                  <c:v>-1.7636561172340539</c:v>
                </c:pt>
                <c:pt idx="74">
                  <c:v>-1.5920355269829476</c:v>
                </c:pt>
                <c:pt idx="75">
                  <c:v>-1.4110039387848627</c:v>
                </c:pt>
                <c:pt idx="76">
                  <c:v>-1.2211541986805545</c:v>
                </c:pt>
                <c:pt idx="77">
                  <c:v>-1.0223740985889784</c:v>
                </c:pt>
                <c:pt idx="78">
                  <c:v>-0.81363892689872686</c:v>
                </c:pt>
                <c:pt idx="79">
                  <c:v>-0.59290046071687863</c:v>
                </c:pt>
                <c:pt idx="80">
                  <c:v>-0.35709670154803885</c:v>
                </c:pt>
                <c:pt idx="81">
                  <c:v>-0.10229569076393613</c:v>
                </c:pt>
                <c:pt idx="82">
                  <c:v>0.17602623489911892</c:v>
                </c:pt>
                <c:pt idx="83">
                  <c:v>0.48258516890321035</c:v>
                </c:pt>
                <c:pt idx="84">
                  <c:v>0.82179602378109295</c:v>
                </c:pt>
                <c:pt idx="85">
                  <c:v>1.1972226877954477</c:v>
                </c:pt>
                <c:pt idx="86">
                  <c:v>1.6110184533591825</c:v>
                </c:pt>
                <c:pt idx="87">
                  <c:v>2.0634076669366395</c:v>
                </c:pt>
                <c:pt idx="88">
                  <c:v>2.5522594595881971</c:v>
                </c:pt>
                <c:pt idx="89">
                  <c:v>3.0727996203502994</c:v>
                </c:pt>
                <c:pt idx="90">
                  <c:v>3.6174974392368116</c:v>
                </c:pt>
                <c:pt idx="91">
                  <c:v>4.1761513631905185</c:v>
                </c:pt>
                <c:pt idx="92">
                  <c:v>4.7361816335280063</c:v>
                </c:pt>
                <c:pt idx="93">
                  <c:v>5.2831210387522463</c:v>
                </c:pt>
                <c:pt idx="94">
                  <c:v>5.8012780093295691</c:v>
                </c:pt>
                <c:pt idx="95">
                  <c:v>6.274531009057843</c:v>
                </c:pt>
                <c:pt idx="96">
                  <c:v>6.6872009306624332</c:v>
                </c:pt>
                <c:pt idx="97">
                  <c:v>7.0249401231761128</c:v>
                </c:pt>
                <c:pt idx="98">
                  <c:v>7.2755735518205951</c:v>
                </c:pt>
                <c:pt idx="99">
                  <c:v>7.4298297723534708</c:v>
                </c:pt>
                <c:pt idx="100">
                  <c:v>7.4819067779195088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05FE-45DA-A0E9-29EE343E87B0}"/>
            </c:ext>
          </c:extLst>
        </c:ser>
        <c:ser>
          <c:idx val="3"/>
          <c:order val="1"/>
          <c:tx>
            <c:v>eta_lin vs. theta</c:v>
          </c:tx>
          <c:spPr>
            <a:ln w="222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Sheet1!$H$12:$H$112</c:f>
              <c:numCache>
                <c:formatCode>0.0000</c:formatCode>
                <c:ptCount val="101"/>
                <c:pt idx="0" formatCode="General">
                  <c:v>0</c:v>
                </c:pt>
                <c:pt idx="1">
                  <c:v>6.2831853071795868E-2</c:v>
                </c:pt>
                <c:pt idx="2">
                  <c:v>0.12566370614359174</c:v>
                </c:pt>
                <c:pt idx="3">
                  <c:v>0.1884955592153876</c:v>
                </c:pt>
                <c:pt idx="4">
                  <c:v>0.25132741228718347</c:v>
                </c:pt>
                <c:pt idx="5">
                  <c:v>0.31415926535897931</c:v>
                </c:pt>
                <c:pt idx="6">
                  <c:v>0.37699111843077515</c:v>
                </c:pt>
                <c:pt idx="7">
                  <c:v>0.43982297150257099</c:v>
                </c:pt>
                <c:pt idx="8">
                  <c:v>0.50265482457436683</c:v>
                </c:pt>
                <c:pt idx="9">
                  <c:v>0.56548667764616267</c:v>
                </c:pt>
                <c:pt idx="10">
                  <c:v>0.62831853071795851</c:v>
                </c:pt>
                <c:pt idx="11">
                  <c:v>0.69115038378975435</c:v>
                </c:pt>
                <c:pt idx="12">
                  <c:v>0.75398223686155019</c:v>
                </c:pt>
                <c:pt idx="13">
                  <c:v>0.81681408993334603</c:v>
                </c:pt>
                <c:pt idx="14">
                  <c:v>0.87964594300514187</c:v>
                </c:pt>
                <c:pt idx="15">
                  <c:v>0.94247779607693771</c:v>
                </c:pt>
                <c:pt idx="16">
                  <c:v>1.0053096491487337</c:v>
                </c:pt>
                <c:pt idx="17">
                  <c:v>1.0681415022205296</c:v>
                </c:pt>
                <c:pt idx="18">
                  <c:v>1.1309733552923256</c:v>
                </c:pt>
                <c:pt idx="19">
                  <c:v>1.1938052083641215</c:v>
                </c:pt>
                <c:pt idx="20">
                  <c:v>1.2566370614359175</c:v>
                </c:pt>
                <c:pt idx="21">
                  <c:v>1.3194689145077134</c:v>
                </c:pt>
                <c:pt idx="22">
                  <c:v>1.3823007675795094</c:v>
                </c:pt>
                <c:pt idx="23">
                  <c:v>1.4451326206513053</c:v>
                </c:pt>
                <c:pt idx="24">
                  <c:v>1.5079644737231013</c:v>
                </c:pt>
                <c:pt idx="25">
                  <c:v>1.5707963267948972</c:v>
                </c:pt>
                <c:pt idx="26">
                  <c:v>1.6336281798666932</c:v>
                </c:pt>
                <c:pt idx="27">
                  <c:v>1.6964600329384891</c:v>
                </c:pt>
                <c:pt idx="28">
                  <c:v>1.7592918860102851</c:v>
                </c:pt>
                <c:pt idx="29">
                  <c:v>1.822123739082081</c:v>
                </c:pt>
                <c:pt idx="30">
                  <c:v>1.884955592153877</c:v>
                </c:pt>
                <c:pt idx="31">
                  <c:v>1.9477874452256729</c:v>
                </c:pt>
                <c:pt idx="32">
                  <c:v>2.0106192982974687</c:v>
                </c:pt>
                <c:pt idx="33">
                  <c:v>2.0734511513692646</c:v>
                </c:pt>
                <c:pt idx="34">
                  <c:v>2.1362830044410606</c:v>
                </c:pt>
                <c:pt idx="35">
                  <c:v>2.1991148575128565</c:v>
                </c:pt>
                <c:pt idx="36">
                  <c:v>2.2619467105846525</c:v>
                </c:pt>
                <c:pt idx="37">
                  <c:v>2.3247785636564484</c:v>
                </c:pt>
                <c:pt idx="38">
                  <c:v>2.3876104167282444</c:v>
                </c:pt>
                <c:pt idx="39">
                  <c:v>2.4504422698000403</c:v>
                </c:pt>
                <c:pt idx="40">
                  <c:v>2.5132741228718363</c:v>
                </c:pt>
                <c:pt idx="41">
                  <c:v>2.5761059759436322</c:v>
                </c:pt>
                <c:pt idx="42">
                  <c:v>2.6389378290154282</c:v>
                </c:pt>
                <c:pt idx="43">
                  <c:v>2.7017696820872241</c:v>
                </c:pt>
                <c:pt idx="44">
                  <c:v>2.7646015351590201</c:v>
                </c:pt>
                <c:pt idx="45">
                  <c:v>2.827433388230816</c:v>
                </c:pt>
                <c:pt idx="46">
                  <c:v>2.890265241302612</c:v>
                </c:pt>
                <c:pt idx="47">
                  <c:v>2.9530970943744079</c:v>
                </c:pt>
                <c:pt idx="48">
                  <c:v>3.0159289474462039</c:v>
                </c:pt>
                <c:pt idx="49">
                  <c:v>3.0787608005179998</c:v>
                </c:pt>
                <c:pt idx="50">
                  <c:v>3.1415926535897958</c:v>
                </c:pt>
                <c:pt idx="51">
                  <c:v>3.2044245066615917</c:v>
                </c:pt>
                <c:pt idx="52">
                  <c:v>3.2672563597333877</c:v>
                </c:pt>
                <c:pt idx="53">
                  <c:v>3.3300882128051836</c:v>
                </c:pt>
                <c:pt idx="54">
                  <c:v>3.3929200658769796</c:v>
                </c:pt>
                <c:pt idx="55">
                  <c:v>3.4557519189487755</c:v>
                </c:pt>
                <c:pt idx="56">
                  <c:v>3.5185837720205715</c:v>
                </c:pt>
                <c:pt idx="57">
                  <c:v>3.5814156250923674</c:v>
                </c:pt>
                <c:pt idx="58">
                  <c:v>3.6442474781641634</c:v>
                </c:pt>
                <c:pt idx="59">
                  <c:v>3.7070793312359593</c:v>
                </c:pt>
                <c:pt idx="60">
                  <c:v>3.7699111843077553</c:v>
                </c:pt>
                <c:pt idx="61">
                  <c:v>3.8327430373795512</c:v>
                </c:pt>
                <c:pt idx="62">
                  <c:v>3.8955748904513472</c:v>
                </c:pt>
                <c:pt idx="63">
                  <c:v>3.9584067435231431</c:v>
                </c:pt>
                <c:pt idx="64">
                  <c:v>4.0212385965949391</c:v>
                </c:pt>
                <c:pt idx="65">
                  <c:v>4.0840704496667346</c:v>
                </c:pt>
                <c:pt idx="66">
                  <c:v>4.1469023027385301</c:v>
                </c:pt>
                <c:pt idx="67">
                  <c:v>4.2097341558103256</c:v>
                </c:pt>
                <c:pt idx="68">
                  <c:v>4.2725660088821211</c:v>
                </c:pt>
                <c:pt idx="69">
                  <c:v>4.3353978619539166</c:v>
                </c:pt>
                <c:pt idx="70">
                  <c:v>4.3982297150257121</c:v>
                </c:pt>
                <c:pt idx="71">
                  <c:v>4.4610615680975076</c:v>
                </c:pt>
                <c:pt idx="72">
                  <c:v>4.5238934211693032</c:v>
                </c:pt>
                <c:pt idx="73">
                  <c:v>4.5867252742410987</c:v>
                </c:pt>
                <c:pt idx="74">
                  <c:v>4.6495571273128942</c:v>
                </c:pt>
                <c:pt idx="75">
                  <c:v>4.7123889803846897</c:v>
                </c:pt>
                <c:pt idx="76">
                  <c:v>4.7752208334564852</c:v>
                </c:pt>
                <c:pt idx="77">
                  <c:v>4.8380526865282807</c:v>
                </c:pt>
                <c:pt idx="78">
                  <c:v>4.9008845396000762</c:v>
                </c:pt>
                <c:pt idx="79">
                  <c:v>4.9637163926718717</c:v>
                </c:pt>
                <c:pt idx="80">
                  <c:v>5.0265482457436672</c:v>
                </c:pt>
                <c:pt idx="81">
                  <c:v>5.0893800988154627</c:v>
                </c:pt>
                <c:pt idx="82">
                  <c:v>5.1522119518872582</c:v>
                </c:pt>
                <c:pt idx="83">
                  <c:v>5.2150438049590537</c:v>
                </c:pt>
                <c:pt idx="84">
                  <c:v>5.2778756580308492</c:v>
                </c:pt>
                <c:pt idx="85">
                  <c:v>5.3407075111026447</c:v>
                </c:pt>
                <c:pt idx="86">
                  <c:v>5.4035393641744403</c:v>
                </c:pt>
                <c:pt idx="87">
                  <c:v>5.4663712172462358</c:v>
                </c:pt>
                <c:pt idx="88">
                  <c:v>5.5292030703180313</c:v>
                </c:pt>
                <c:pt idx="89">
                  <c:v>5.5920349233898268</c:v>
                </c:pt>
                <c:pt idx="90">
                  <c:v>5.6548667764616223</c:v>
                </c:pt>
                <c:pt idx="91">
                  <c:v>5.7176986295334178</c:v>
                </c:pt>
                <c:pt idx="92">
                  <c:v>5.7805304826052133</c:v>
                </c:pt>
                <c:pt idx="93">
                  <c:v>5.8433623356770088</c:v>
                </c:pt>
                <c:pt idx="94">
                  <c:v>5.9061941887488043</c:v>
                </c:pt>
                <c:pt idx="95">
                  <c:v>5.9690260418205998</c:v>
                </c:pt>
                <c:pt idx="96">
                  <c:v>6.0318578948923953</c:v>
                </c:pt>
                <c:pt idx="97">
                  <c:v>6.0946897479641908</c:v>
                </c:pt>
                <c:pt idx="98">
                  <c:v>6.1575216010359863</c:v>
                </c:pt>
                <c:pt idx="99">
                  <c:v>6.2203534541077818</c:v>
                </c:pt>
                <c:pt idx="100">
                  <c:v>6.2831853071795774</c:v>
                </c:pt>
              </c:numCache>
            </c:numRef>
          </c:xVal>
          <c:yVal>
            <c:numRef>
              <c:f>Sheet1!$S$12:$S$112</c:f>
              <c:numCache>
                <c:formatCode>0.00000</c:formatCode>
                <c:ptCount val="101"/>
                <c:pt idx="0">
                  <c:v>5.5</c:v>
                </c:pt>
                <c:pt idx="1">
                  <c:v>5.4891470063554939</c:v>
                </c:pt>
                <c:pt idx="2">
                  <c:v>5.4566308572296283</c:v>
                </c:pt>
                <c:pt idx="3">
                  <c:v>5.4025798790077877</c:v>
                </c:pt>
                <c:pt idx="4">
                  <c:v>5.3272073862074709</c:v>
                </c:pt>
                <c:pt idx="5">
                  <c:v>5.2308108396233441</c:v>
                </c:pt>
                <c:pt idx="6">
                  <c:v>5.1137706723853826</c:v>
                </c:pt>
                <c:pt idx="7">
                  <c:v>4.9765487885631075</c:v>
                </c:pt>
                <c:pt idx="8">
                  <c:v>4.8196867402412495</c:v>
                </c:pt>
                <c:pt idx="9">
                  <c:v>4.6438035902610837</c:v>
                </c:pt>
                <c:pt idx="10">
                  <c:v>4.4495934690622114</c:v>
                </c:pt>
                <c:pt idx="11">
                  <c:v>4.2378228352668419</c:v>
                </c:pt>
                <c:pt idx="12">
                  <c:v>4.0093274508177643</c:v>
                </c:pt>
                <c:pt idx="13">
                  <c:v>3.7650090826077887</c:v>
                </c:pt>
                <c:pt idx="14">
                  <c:v>3.5058319436177943</c:v>
                </c:pt>
                <c:pt idx="15">
                  <c:v>3.2328188876086035</c:v>
                </c:pt>
                <c:pt idx="16">
                  <c:v>2.9470473723844823</c:v>
                </c:pt>
                <c:pt idx="17">
                  <c:v>2.6496452075594341</c:v>
                </c:pt>
                <c:pt idx="18">
                  <c:v>2.3417861036078995</c:v>
                </c:pt>
                <c:pt idx="19">
                  <c:v>2.0246850397657283</c:v>
                </c:pt>
                <c:pt idx="20">
                  <c:v>1.6995934690622101</c:v>
                </c:pt>
                <c:pt idx="21">
                  <c:v>1.3677943794067</c:v>
                </c:pt>
                <c:pt idx="22">
                  <c:v>1.0305972302214836</c:v>
                </c:pt>
                <c:pt idx="23">
                  <c:v>0.68933278460367098</c:v>
                </c:pt>
                <c:pt idx="24">
                  <c:v>0.34534785741122076</c:v>
                </c:pt>
                <c:pt idx="25">
                  <c:v>-3.3268201561631461E-15</c:v>
                </c:pt>
                <c:pt idx="26">
                  <c:v>-0.34534785741122737</c:v>
                </c:pt>
                <c:pt idx="27">
                  <c:v>-0.68933278460367753</c:v>
                </c:pt>
                <c:pt idx="28">
                  <c:v>-1.0305972302214901</c:v>
                </c:pt>
                <c:pt idx="29">
                  <c:v>-1.3677943794067065</c:v>
                </c:pt>
                <c:pt idx="30">
                  <c:v>-1.6995934690622161</c:v>
                </c:pt>
                <c:pt idx="31">
                  <c:v>-2.0246850397657346</c:v>
                </c:pt>
                <c:pt idx="32">
                  <c:v>-2.3417861036079044</c:v>
                </c:pt>
                <c:pt idx="33">
                  <c:v>-2.649645207559439</c:v>
                </c:pt>
                <c:pt idx="34">
                  <c:v>-2.9470473723844863</c:v>
                </c:pt>
                <c:pt idx="35">
                  <c:v>-3.2328188876086079</c:v>
                </c:pt>
                <c:pt idx="36">
                  <c:v>-3.5058319436177992</c:v>
                </c:pt>
                <c:pt idx="37">
                  <c:v>-3.7650090826077935</c:v>
                </c:pt>
                <c:pt idx="38">
                  <c:v>-4.0093274508177688</c:v>
                </c:pt>
                <c:pt idx="39">
                  <c:v>-4.2378228352668463</c:v>
                </c:pt>
                <c:pt idx="40">
                  <c:v>-4.4495934690622168</c:v>
                </c:pt>
                <c:pt idx="41">
                  <c:v>-4.6438035902610881</c:v>
                </c:pt>
                <c:pt idx="42">
                  <c:v>-4.8196867402412549</c:v>
                </c:pt>
                <c:pt idx="43">
                  <c:v>-4.9765487885631119</c:v>
                </c:pt>
                <c:pt idx="44">
                  <c:v>-5.1137706723853871</c:v>
                </c:pt>
                <c:pt idx="45">
                  <c:v>-5.2308108396233477</c:v>
                </c:pt>
                <c:pt idx="46">
                  <c:v>-5.3272073862074736</c:v>
                </c:pt>
                <c:pt idx="47">
                  <c:v>-5.4025798790077895</c:v>
                </c:pt>
                <c:pt idx="48">
                  <c:v>-5.4566308572296292</c:v>
                </c:pt>
                <c:pt idx="49">
                  <c:v>-5.4891470063554939</c:v>
                </c:pt>
                <c:pt idx="50">
                  <c:v>-5.5</c:v>
                </c:pt>
                <c:pt idx="51">
                  <c:v>-5.489147006355493</c:v>
                </c:pt>
                <c:pt idx="52">
                  <c:v>-5.4566308572296265</c:v>
                </c:pt>
                <c:pt idx="53">
                  <c:v>-5.402579879007785</c:v>
                </c:pt>
                <c:pt idx="54">
                  <c:v>-5.3272073862074674</c:v>
                </c:pt>
                <c:pt idx="55">
                  <c:v>-5.2308108396233397</c:v>
                </c:pt>
                <c:pt idx="56">
                  <c:v>-5.1137706723853764</c:v>
                </c:pt>
                <c:pt idx="57">
                  <c:v>-4.9765487885630995</c:v>
                </c:pt>
                <c:pt idx="58">
                  <c:v>-4.8196867402412416</c:v>
                </c:pt>
                <c:pt idx="59">
                  <c:v>-4.643803590261073</c:v>
                </c:pt>
                <c:pt idx="60">
                  <c:v>-4.4495934690621999</c:v>
                </c:pt>
                <c:pt idx="61">
                  <c:v>-4.2378228352668286</c:v>
                </c:pt>
                <c:pt idx="62">
                  <c:v>-4.0093274508177501</c:v>
                </c:pt>
                <c:pt idx="63">
                  <c:v>-3.7650090826077727</c:v>
                </c:pt>
                <c:pt idx="64">
                  <c:v>-3.5058319436177778</c:v>
                </c:pt>
                <c:pt idx="65">
                  <c:v>-3.232818887608587</c:v>
                </c:pt>
                <c:pt idx="66">
                  <c:v>-2.9470473723844677</c:v>
                </c:pt>
                <c:pt idx="67">
                  <c:v>-2.6496452075594212</c:v>
                </c:pt>
                <c:pt idx="68">
                  <c:v>-2.341786103607888</c:v>
                </c:pt>
                <c:pt idx="69">
                  <c:v>-2.0246850397657186</c:v>
                </c:pt>
                <c:pt idx="70">
                  <c:v>-1.6995934690622025</c:v>
                </c:pt>
                <c:pt idx="71">
                  <c:v>-1.3677943794066947</c:v>
                </c:pt>
                <c:pt idx="72">
                  <c:v>-1.0305972302214808</c:v>
                </c:pt>
                <c:pt idx="73">
                  <c:v>-0.68933278460367053</c:v>
                </c:pt>
                <c:pt idx="74">
                  <c:v>-0.34534785741122265</c:v>
                </c:pt>
                <c:pt idx="75">
                  <c:v>-1.0107474752996115E-15</c:v>
                </c:pt>
                <c:pt idx="76">
                  <c:v>0.34534785741122059</c:v>
                </c:pt>
                <c:pt idx="77">
                  <c:v>0.68933278460366842</c:v>
                </c:pt>
                <c:pt idx="78">
                  <c:v>1.0305972302214788</c:v>
                </c:pt>
                <c:pt idx="79">
                  <c:v>1.3677943794066927</c:v>
                </c:pt>
                <c:pt idx="80">
                  <c:v>1.6995934690622005</c:v>
                </c:pt>
                <c:pt idx="81">
                  <c:v>2.0246850397657168</c:v>
                </c:pt>
                <c:pt idx="82">
                  <c:v>2.3417861036078862</c:v>
                </c:pt>
                <c:pt idx="83">
                  <c:v>2.6496452075594195</c:v>
                </c:pt>
                <c:pt idx="84">
                  <c:v>2.9470473723844659</c:v>
                </c:pt>
                <c:pt idx="85">
                  <c:v>3.2328188876085857</c:v>
                </c:pt>
                <c:pt idx="86">
                  <c:v>3.5058319436177761</c:v>
                </c:pt>
                <c:pt idx="87">
                  <c:v>3.7650090826077696</c:v>
                </c:pt>
                <c:pt idx="88">
                  <c:v>4.0093274508177448</c:v>
                </c:pt>
                <c:pt idx="89">
                  <c:v>4.2378228352668224</c:v>
                </c:pt>
                <c:pt idx="90">
                  <c:v>4.4495934690621928</c:v>
                </c:pt>
                <c:pt idx="91">
                  <c:v>4.6438035902610659</c:v>
                </c:pt>
                <c:pt idx="92">
                  <c:v>4.8196867402412336</c:v>
                </c:pt>
                <c:pt idx="93">
                  <c:v>4.9765487885630915</c:v>
                </c:pt>
                <c:pt idx="94">
                  <c:v>5.1137706723853684</c:v>
                </c:pt>
                <c:pt idx="95">
                  <c:v>5.2308108396233326</c:v>
                </c:pt>
                <c:pt idx="96">
                  <c:v>5.3272073862074603</c:v>
                </c:pt>
                <c:pt idx="97">
                  <c:v>5.4025798790077797</c:v>
                </c:pt>
                <c:pt idx="98">
                  <c:v>5.456630857229622</c:v>
                </c:pt>
                <c:pt idx="99">
                  <c:v>5.4891470063554904</c:v>
                </c:pt>
                <c:pt idx="100">
                  <c:v>5.5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5FE-45DA-A0E9-29EE343E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98464"/>
        <c:axId val="296996168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2"/>
                <c:tx>
                  <c:v>u_fs vs. t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square"/>
                  <c:size val="4"/>
                  <c:spPr>
                    <a:noFill/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Sheet1!$G$12:$G$112</c15:sqref>
                        </c15:formulaRef>
                      </c:ext>
                    </c:extLst>
                    <c:numCache>
                      <c:formatCode>0.0000</c:formatCode>
                      <c:ptCount val="101"/>
                      <c:pt idx="0" formatCode="General">
                        <c:v>0</c:v>
                      </c:pt>
                      <c:pt idx="1">
                        <c:v>7.1061563966002814E-2</c:v>
                      </c:pt>
                      <c:pt idx="2">
                        <c:v>0.14212312793200563</c:v>
                      </c:pt>
                      <c:pt idx="3">
                        <c:v>0.21318469189800843</c:v>
                      </c:pt>
                      <c:pt idx="4">
                        <c:v>0.28424625586401125</c:v>
                      </c:pt>
                      <c:pt idx="5">
                        <c:v>0.35530781983001408</c:v>
                      </c:pt>
                      <c:pt idx="6">
                        <c:v>0.42636938379601691</c:v>
                      </c:pt>
                      <c:pt idx="7">
                        <c:v>0.49743094776201974</c:v>
                      </c:pt>
                      <c:pt idx="8">
                        <c:v>0.56849251172802251</c:v>
                      </c:pt>
                      <c:pt idx="9">
                        <c:v>0.63955407569402534</c:v>
                      </c:pt>
                      <c:pt idx="10">
                        <c:v>0.71061563966002816</c:v>
                      </c:pt>
                      <c:pt idx="11">
                        <c:v>0.78167720362603099</c:v>
                      </c:pt>
                      <c:pt idx="12">
                        <c:v>0.85273876759203382</c:v>
                      </c:pt>
                      <c:pt idx="13">
                        <c:v>0.92380033155803665</c:v>
                      </c:pt>
                      <c:pt idx="14">
                        <c:v>0.99486189552403947</c:v>
                      </c:pt>
                      <c:pt idx="15">
                        <c:v>1.0659234594900422</c:v>
                      </c:pt>
                      <c:pt idx="16">
                        <c:v>1.136985023456045</c:v>
                      </c:pt>
                      <c:pt idx="17">
                        <c:v>1.2080465874220478</c:v>
                      </c:pt>
                      <c:pt idx="18">
                        <c:v>1.2791081513880507</c:v>
                      </c:pt>
                      <c:pt idx="19">
                        <c:v>1.3501697153540535</c:v>
                      </c:pt>
                      <c:pt idx="20">
                        <c:v>1.4212312793200563</c:v>
                      </c:pt>
                      <c:pt idx="21">
                        <c:v>1.4922928432860592</c:v>
                      </c:pt>
                      <c:pt idx="22">
                        <c:v>1.563354407252062</c:v>
                      </c:pt>
                      <c:pt idx="23">
                        <c:v>1.6344159712180648</c:v>
                      </c:pt>
                      <c:pt idx="24">
                        <c:v>1.7054775351840676</c:v>
                      </c:pt>
                      <c:pt idx="25">
                        <c:v>1.7765390991500705</c:v>
                      </c:pt>
                      <c:pt idx="26">
                        <c:v>1.8476006631160733</c:v>
                      </c:pt>
                      <c:pt idx="27">
                        <c:v>1.9186622270820761</c:v>
                      </c:pt>
                      <c:pt idx="28">
                        <c:v>1.9897237910480789</c:v>
                      </c:pt>
                      <c:pt idx="29">
                        <c:v>2.0607853550140818</c:v>
                      </c:pt>
                      <c:pt idx="30">
                        <c:v>2.1318469189800844</c:v>
                      </c:pt>
                      <c:pt idx="31">
                        <c:v>2.202908482946087</c:v>
                      </c:pt>
                      <c:pt idx="32">
                        <c:v>2.2739700469120896</c:v>
                      </c:pt>
                      <c:pt idx="33">
                        <c:v>2.3450316108780922</c:v>
                      </c:pt>
                      <c:pt idx="34">
                        <c:v>2.4160931748440948</c:v>
                      </c:pt>
                      <c:pt idx="35">
                        <c:v>2.4871547388100974</c:v>
                      </c:pt>
                      <c:pt idx="36">
                        <c:v>2.5582163027761</c:v>
                      </c:pt>
                      <c:pt idx="37">
                        <c:v>2.6292778667421026</c:v>
                      </c:pt>
                      <c:pt idx="38">
                        <c:v>2.7003394307081052</c:v>
                      </c:pt>
                      <c:pt idx="39">
                        <c:v>2.7714009946741078</c:v>
                      </c:pt>
                      <c:pt idx="40">
                        <c:v>2.8424625586401104</c:v>
                      </c:pt>
                      <c:pt idx="41">
                        <c:v>2.913524122606113</c:v>
                      </c:pt>
                      <c:pt idx="42">
                        <c:v>2.9845856865721156</c:v>
                      </c:pt>
                      <c:pt idx="43">
                        <c:v>3.0556472505381183</c:v>
                      </c:pt>
                      <c:pt idx="44">
                        <c:v>3.1267088145041209</c:v>
                      </c:pt>
                      <c:pt idx="45">
                        <c:v>3.1977703784701235</c:v>
                      </c:pt>
                      <c:pt idx="46">
                        <c:v>3.2688319424361261</c:v>
                      </c:pt>
                      <c:pt idx="47">
                        <c:v>3.3398935064021287</c:v>
                      </c:pt>
                      <c:pt idx="48">
                        <c:v>3.4109550703681313</c:v>
                      </c:pt>
                      <c:pt idx="49">
                        <c:v>3.4820166343341339</c:v>
                      </c:pt>
                      <c:pt idx="50">
                        <c:v>3.5530781983001365</c:v>
                      </c:pt>
                      <c:pt idx="51">
                        <c:v>3.6241397622661391</c:v>
                      </c:pt>
                      <c:pt idx="52">
                        <c:v>3.6952013262321417</c:v>
                      </c:pt>
                      <c:pt idx="53">
                        <c:v>3.7662628901981443</c:v>
                      </c:pt>
                      <c:pt idx="54">
                        <c:v>3.8373244541641469</c:v>
                      </c:pt>
                      <c:pt idx="55">
                        <c:v>3.9083860181301495</c:v>
                      </c:pt>
                      <c:pt idx="56">
                        <c:v>3.9794475820961521</c:v>
                      </c:pt>
                      <c:pt idx="57">
                        <c:v>4.0505091460621552</c:v>
                      </c:pt>
                      <c:pt idx="58">
                        <c:v>4.1215707100281582</c:v>
                      </c:pt>
                      <c:pt idx="59">
                        <c:v>4.1926322739941613</c:v>
                      </c:pt>
                      <c:pt idx="60">
                        <c:v>4.2636938379601643</c:v>
                      </c:pt>
                      <c:pt idx="61">
                        <c:v>4.3347554019261674</c:v>
                      </c:pt>
                      <c:pt idx="62">
                        <c:v>4.4058169658921704</c:v>
                      </c:pt>
                      <c:pt idx="63">
                        <c:v>4.4768785298581735</c:v>
                      </c:pt>
                      <c:pt idx="64">
                        <c:v>4.5479400938241765</c:v>
                      </c:pt>
                      <c:pt idx="65">
                        <c:v>4.6190016577901796</c:v>
                      </c:pt>
                      <c:pt idx="66">
                        <c:v>4.6900632217561826</c:v>
                      </c:pt>
                      <c:pt idx="67">
                        <c:v>4.7611247857221857</c:v>
                      </c:pt>
                      <c:pt idx="68">
                        <c:v>4.8321863496881887</c:v>
                      </c:pt>
                      <c:pt idx="69">
                        <c:v>4.9032479136541918</c:v>
                      </c:pt>
                      <c:pt idx="70">
                        <c:v>4.9743094776201948</c:v>
                      </c:pt>
                      <c:pt idx="71">
                        <c:v>5.0453710415861979</c:v>
                      </c:pt>
                      <c:pt idx="72">
                        <c:v>5.1164326055522009</c:v>
                      </c:pt>
                      <c:pt idx="73">
                        <c:v>5.187494169518204</c:v>
                      </c:pt>
                      <c:pt idx="74">
                        <c:v>5.258555733484207</c:v>
                      </c:pt>
                      <c:pt idx="75">
                        <c:v>5.3296172974502101</c:v>
                      </c:pt>
                      <c:pt idx="76">
                        <c:v>5.4006788614162131</c:v>
                      </c:pt>
                      <c:pt idx="77">
                        <c:v>5.4717404253822162</c:v>
                      </c:pt>
                      <c:pt idx="78">
                        <c:v>5.5428019893482192</c:v>
                      </c:pt>
                      <c:pt idx="79">
                        <c:v>5.6138635533142223</c:v>
                      </c:pt>
                      <c:pt idx="80">
                        <c:v>5.6849251172802253</c:v>
                      </c:pt>
                      <c:pt idx="81">
                        <c:v>5.7559866812462284</c:v>
                      </c:pt>
                      <c:pt idx="82">
                        <c:v>5.8270482452122314</c:v>
                      </c:pt>
                      <c:pt idx="83">
                        <c:v>5.8981098091782345</c:v>
                      </c:pt>
                      <c:pt idx="84">
                        <c:v>5.9691713731442375</c:v>
                      </c:pt>
                      <c:pt idx="85">
                        <c:v>6.0402329371102406</c:v>
                      </c:pt>
                      <c:pt idx="86">
                        <c:v>6.1112945010762436</c:v>
                      </c:pt>
                      <c:pt idx="87">
                        <c:v>6.1823560650422467</c:v>
                      </c:pt>
                      <c:pt idx="88">
                        <c:v>6.2534176290082497</c:v>
                      </c:pt>
                      <c:pt idx="89">
                        <c:v>6.3244791929742528</c:v>
                      </c:pt>
                      <c:pt idx="90">
                        <c:v>6.3955407569402558</c:v>
                      </c:pt>
                      <c:pt idx="91">
                        <c:v>6.4666023209062589</c:v>
                      </c:pt>
                      <c:pt idx="92">
                        <c:v>6.5376638848722619</c:v>
                      </c:pt>
                      <c:pt idx="93">
                        <c:v>6.608725448838265</c:v>
                      </c:pt>
                      <c:pt idx="94">
                        <c:v>6.679787012804268</c:v>
                      </c:pt>
                      <c:pt idx="95">
                        <c:v>6.7508485767702711</c:v>
                      </c:pt>
                      <c:pt idx="96">
                        <c:v>6.8219101407362741</c:v>
                      </c:pt>
                      <c:pt idx="97">
                        <c:v>6.8929717047022772</c:v>
                      </c:pt>
                      <c:pt idx="98">
                        <c:v>6.9640332686682802</c:v>
                      </c:pt>
                      <c:pt idx="99">
                        <c:v>7.0350948326342833</c:v>
                      </c:pt>
                      <c:pt idx="100">
                        <c:v>7.1061563966002863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Sheet1!$AF$12:$AF$112</c15:sqref>
                        </c15:formulaRef>
                      </c:ext>
                    </c:extLst>
                    <c:numCache>
                      <c:formatCode>0.0000</c:formatCode>
                      <c:ptCount val="101"/>
                      <c:pt idx="0">
                        <c:v>9.9301583047464526</c:v>
                      </c:pt>
                      <c:pt idx="1">
                        <c:v>9.8297180369633761</c:v>
                      </c:pt>
                      <c:pt idx="2">
                        <c:v>9.5375104387456933</c:v>
                      </c:pt>
                      <c:pt idx="3">
                        <c:v>9.0790208022932752</c:v>
                      </c:pt>
                      <c:pt idx="4">
                        <c:v>8.4911790194383396</c:v>
                      </c:pt>
                      <c:pt idx="5">
                        <c:v>7.8159421650125136</c:v>
                      </c:pt>
                      <c:pt idx="6">
                        <c:v>7.0941728611951334</c:v>
                      </c:pt>
                      <c:pt idx="7">
                        <c:v>6.3611078863215802</c:v>
                      </c:pt>
                      <c:pt idx="8">
                        <c:v>5.6439188001186098</c:v>
                      </c:pt>
                      <c:pt idx="9">
                        <c:v>4.961180938024544</c:v>
                      </c:pt>
                      <c:pt idx="10">
                        <c:v>4.3236938600017689</c:v>
                      </c:pt>
                      <c:pt idx="11">
                        <c:v>3.7360255370089139</c:v>
                      </c:pt>
                      <c:pt idx="12">
                        <c:v>3.1982673825120731</c:v>
                      </c:pt>
                      <c:pt idx="13">
                        <c:v>2.7076663928220355</c:v>
                      </c:pt>
                      <c:pt idx="14">
                        <c:v>2.2599656716901686</c:v>
                      </c:pt>
                      <c:pt idx="15">
                        <c:v>1.8504026430525562</c:v>
                      </c:pt>
                      <c:pt idx="16">
                        <c:v>1.4743828727773143</c:v>
                      </c:pt>
                      <c:pt idx="17">
                        <c:v>1.1278784298057702</c:v>
                      </c:pt>
                      <c:pt idx="18">
                        <c:v>0.80760805345888642</c:v>
                      </c:pt>
                      <c:pt idx="19">
                        <c:v>0.51105433122902399</c:v>
                      </c:pt>
                      <c:pt idx="20">
                        <c:v>0.23636821717252343</c:v>
                      </c:pt>
                      <c:pt idx="21">
                        <c:v>-1.7793386285334535E-2</c:v>
                      </c:pt>
                      <c:pt idx="22">
                        <c:v>-0.25245571706319048</c:v>
                      </c:pt>
                      <c:pt idx="23">
                        <c:v>-0.46850449753928713</c:v>
                      </c:pt>
                      <c:pt idx="24">
                        <c:v>-0.66682765729894689</c:v>
                      </c:pt>
                      <c:pt idx="25">
                        <c:v>-0.84840473105156722</c:v>
                      </c:pt>
                      <c:pt idx="26">
                        <c:v>-1.0143404589551996</c:v>
                      </c:pt>
                      <c:pt idx="27">
                        <c:v>-1.165849988242307</c:v>
                      </c:pt>
                      <c:pt idx="28">
                        <c:v>-1.3042104271733621</c:v>
                      </c:pt>
                      <c:pt idx="29">
                        <c:v>-1.4306963123755447</c:v>
                      </c:pt>
                      <c:pt idx="30">
                        <c:v>-1.5465151836931439</c:v>
                      </c:pt>
                      <c:pt idx="31">
                        <c:v>-1.652755284408935</c:v>
                      </c:pt>
                      <c:pt idx="32">
                        <c:v>-1.7503521020813921</c:v>
                      </c:pt>
                      <c:pt idx="33">
                        <c:v>-1.8400754428833772</c:v>
                      </c:pt>
                      <c:pt idx="34">
                        <c:v>-1.922534846140286</c:v>
                      </c:pt>
                      <c:pt idx="35">
                        <c:v>-1.9981987285331961</c:v>
                      </c:pt>
                      <c:pt idx="36">
                        <c:v>-2.067421679825781</c:v>
                      </c:pt>
                      <c:pt idx="37">
                        <c:v>-2.1304745971300645</c:v>
                      </c:pt>
                      <c:pt idx="38">
                        <c:v>-2.1875734979514183</c:v>
                      </c:pt>
                      <c:pt idx="39">
                        <c:v>-2.2389044405298577</c:v>
                      </c:pt>
                      <c:pt idx="40">
                        <c:v>-2.2846434937569859</c:v>
                      </c:pt>
                      <c:pt idx="41">
                        <c:v>-2.3249717038515501</c:v>
                      </c:pt>
                      <c:pt idx="42">
                        <c:v>-2.3600853113992586</c:v>
                      </c:pt>
                      <c:pt idx="43">
                        <c:v>-2.3902012291156192</c:v>
                      </c:pt>
                      <c:pt idx="44">
                        <c:v>-2.4155574086201765</c:v>
                      </c:pt>
                      <c:pt idx="45">
                        <c:v>-2.4364076471769929</c:v>
                      </c:pt>
                      <c:pt idx="46">
                        <c:v>-2.4530108417408307</c:v>
                      </c:pt>
                      <c:pt idx="47">
                        <c:v>-2.4656155920601219</c:v>
                      </c:pt>
                      <c:pt idx="48">
                        <c:v>-2.4744420501771947</c:v>
                      </c:pt>
                      <c:pt idx="49">
                        <c:v>-2.4796636322706131</c:v>
                      </c:pt>
                      <c:pt idx="50">
                        <c:v>-2.4813914090547029</c:v>
                      </c:pt>
                      <c:pt idx="51">
                        <c:v>-2.4796636322706127</c:v>
                      </c:pt>
                      <c:pt idx="52">
                        <c:v>-2.4744420501771938</c:v>
                      </c:pt>
                      <c:pt idx="53">
                        <c:v>-2.465615592060121</c:v>
                      </c:pt>
                      <c:pt idx="54">
                        <c:v>-2.453010841740829</c:v>
                      </c:pt>
                      <c:pt idx="55">
                        <c:v>-2.4364076471769911</c:v>
                      </c:pt>
                      <c:pt idx="56">
                        <c:v>-2.4155574086201739</c:v>
                      </c:pt>
                      <c:pt idx="57">
                        <c:v>-2.3902012291156169</c:v>
                      </c:pt>
                      <c:pt idx="58">
                        <c:v>-2.3600853113992559</c:v>
                      </c:pt>
                      <c:pt idx="59">
                        <c:v>-2.3249717038515474</c:v>
                      </c:pt>
                      <c:pt idx="60">
                        <c:v>-2.2846434937569824</c:v>
                      </c:pt>
                      <c:pt idx="61">
                        <c:v>-2.2389044405298537</c:v>
                      </c:pt>
                      <c:pt idx="62">
                        <c:v>-2.1875734979514143</c:v>
                      </c:pt>
                      <c:pt idx="63">
                        <c:v>-2.1304745971300592</c:v>
                      </c:pt>
                      <c:pt idx="64">
                        <c:v>-2.0674216798257756</c:v>
                      </c:pt>
                      <c:pt idx="65">
                        <c:v>-1.9981987285331912</c:v>
                      </c:pt>
                      <c:pt idx="66">
                        <c:v>-1.9225348461402805</c:v>
                      </c:pt>
                      <c:pt idx="67">
                        <c:v>-1.8400754428833721</c:v>
                      </c:pt>
                      <c:pt idx="68">
                        <c:v>-1.7503521020813875</c:v>
                      </c:pt>
                      <c:pt idx="69">
                        <c:v>-1.6527552844089302</c:v>
                      </c:pt>
                      <c:pt idx="70">
                        <c:v>-1.546515183693139</c:v>
                      </c:pt>
                      <c:pt idx="71">
                        <c:v>-1.4306963123755405</c:v>
                      </c:pt>
                      <c:pt idx="72">
                        <c:v>-1.3042104271733586</c:v>
                      </c:pt>
                      <c:pt idx="73">
                        <c:v>-1.1658499882423043</c:v>
                      </c:pt>
                      <c:pt idx="74">
                        <c:v>-1.0143404589551968</c:v>
                      </c:pt>
                      <c:pt idx="75">
                        <c:v>-0.84840473105156589</c:v>
                      </c:pt>
                      <c:pt idx="76">
                        <c:v>-0.666827657298947</c:v>
                      </c:pt>
                      <c:pt idx="77">
                        <c:v>-0.46850449753928858</c:v>
                      </c:pt>
                      <c:pt idx="78">
                        <c:v>-0.25245571706319364</c:v>
                      </c:pt>
                      <c:pt idx="79">
                        <c:v>-1.7793386285339659E-2</c:v>
                      </c:pt>
                      <c:pt idx="80">
                        <c:v>0.23636821717251538</c:v>
                      </c:pt>
                      <c:pt idx="81">
                        <c:v>0.51105433122901411</c:v>
                      </c:pt>
                      <c:pt idx="82">
                        <c:v>0.80760805345887354</c:v>
                      </c:pt>
                      <c:pt idx="83">
                        <c:v>1.127878429805754</c:v>
                      </c:pt>
                      <c:pt idx="84">
                        <c:v>1.4743828727772943</c:v>
                      </c:pt>
                      <c:pt idx="85">
                        <c:v>1.8504026430525318</c:v>
                      </c:pt>
                      <c:pt idx="86">
                        <c:v>2.2599656716901384</c:v>
                      </c:pt>
                      <c:pt idx="87">
                        <c:v>2.7076663928220022</c:v>
                      </c:pt>
                      <c:pt idx="88">
                        <c:v>3.1982673825120314</c:v>
                      </c:pt>
                      <c:pt idx="89">
                        <c:v>3.7360255370088651</c:v>
                      </c:pt>
                      <c:pt idx="90">
                        <c:v>4.3236938600017139</c:v>
                      </c:pt>
                      <c:pt idx="91">
                        <c:v>4.9611809380244809</c:v>
                      </c:pt>
                      <c:pt idx="92">
                        <c:v>5.6439188001185396</c:v>
                      </c:pt>
                      <c:pt idx="93">
                        <c:v>6.3611078863215047</c:v>
                      </c:pt>
                      <c:pt idx="94">
                        <c:v>7.094172861195049</c:v>
                      </c:pt>
                      <c:pt idx="95">
                        <c:v>7.815942165012431</c:v>
                      </c:pt>
                      <c:pt idx="96">
                        <c:v>8.4911790194382633</c:v>
                      </c:pt>
                      <c:pt idx="97">
                        <c:v>9.0790208022932095</c:v>
                      </c:pt>
                      <c:pt idx="98">
                        <c:v>9.53751043874564</c:v>
                      </c:pt>
                      <c:pt idx="99">
                        <c:v>9.8297180369633477</c:v>
                      </c:pt>
                      <c:pt idx="100">
                        <c:v>9.9301583047464526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DE10-47EA-BE94-0BAF9DA7E633}"/>
                  </c:ext>
                </c:extLst>
              </c15:ser>
            </c15:filteredScatterSeries>
            <c15:filteredScatterSeries>
              <c15:ser>
                <c:idx val="5"/>
                <c:order val="3"/>
                <c:tx>
                  <c:v>u+uc+um</c:v>
                </c:tx>
                <c:spPr>
                  <a:ln w="1905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noFill/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Sheet1!$G$12:$G$112</c15:sqref>
                        </c15:formulaRef>
                      </c:ext>
                    </c:extLst>
                    <c:numCache>
                      <c:formatCode>0.0000</c:formatCode>
                      <c:ptCount val="101"/>
                      <c:pt idx="0" formatCode="General">
                        <c:v>0</c:v>
                      </c:pt>
                      <c:pt idx="1">
                        <c:v>7.1061563966002814E-2</c:v>
                      </c:pt>
                      <c:pt idx="2">
                        <c:v>0.14212312793200563</c:v>
                      </c:pt>
                      <c:pt idx="3">
                        <c:v>0.21318469189800843</c:v>
                      </c:pt>
                      <c:pt idx="4">
                        <c:v>0.28424625586401125</c:v>
                      </c:pt>
                      <c:pt idx="5">
                        <c:v>0.35530781983001408</c:v>
                      </c:pt>
                      <c:pt idx="6">
                        <c:v>0.42636938379601691</c:v>
                      </c:pt>
                      <c:pt idx="7">
                        <c:v>0.49743094776201974</c:v>
                      </c:pt>
                      <c:pt idx="8">
                        <c:v>0.56849251172802251</c:v>
                      </c:pt>
                      <c:pt idx="9">
                        <c:v>0.63955407569402534</c:v>
                      </c:pt>
                      <c:pt idx="10">
                        <c:v>0.71061563966002816</c:v>
                      </c:pt>
                      <c:pt idx="11">
                        <c:v>0.78167720362603099</c:v>
                      </c:pt>
                      <c:pt idx="12">
                        <c:v>0.85273876759203382</c:v>
                      </c:pt>
                      <c:pt idx="13">
                        <c:v>0.92380033155803665</c:v>
                      </c:pt>
                      <c:pt idx="14">
                        <c:v>0.99486189552403947</c:v>
                      </c:pt>
                      <c:pt idx="15">
                        <c:v>1.0659234594900422</c:v>
                      </c:pt>
                      <c:pt idx="16">
                        <c:v>1.136985023456045</c:v>
                      </c:pt>
                      <c:pt idx="17">
                        <c:v>1.2080465874220478</c:v>
                      </c:pt>
                      <c:pt idx="18">
                        <c:v>1.2791081513880507</c:v>
                      </c:pt>
                      <c:pt idx="19">
                        <c:v>1.3501697153540535</c:v>
                      </c:pt>
                      <c:pt idx="20">
                        <c:v>1.4212312793200563</c:v>
                      </c:pt>
                      <c:pt idx="21">
                        <c:v>1.4922928432860592</c:v>
                      </c:pt>
                      <c:pt idx="22">
                        <c:v>1.563354407252062</c:v>
                      </c:pt>
                      <c:pt idx="23">
                        <c:v>1.6344159712180648</c:v>
                      </c:pt>
                      <c:pt idx="24">
                        <c:v>1.7054775351840676</c:v>
                      </c:pt>
                      <c:pt idx="25">
                        <c:v>1.7765390991500705</c:v>
                      </c:pt>
                      <c:pt idx="26">
                        <c:v>1.8476006631160733</c:v>
                      </c:pt>
                      <c:pt idx="27">
                        <c:v>1.9186622270820761</c:v>
                      </c:pt>
                      <c:pt idx="28">
                        <c:v>1.9897237910480789</c:v>
                      </c:pt>
                      <c:pt idx="29">
                        <c:v>2.0607853550140818</c:v>
                      </c:pt>
                      <c:pt idx="30">
                        <c:v>2.1318469189800844</c:v>
                      </c:pt>
                      <c:pt idx="31">
                        <c:v>2.202908482946087</c:v>
                      </c:pt>
                      <c:pt idx="32">
                        <c:v>2.2739700469120896</c:v>
                      </c:pt>
                      <c:pt idx="33">
                        <c:v>2.3450316108780922</c:v>
                      </c:pt>
                      <c:pt idx="34">
                        <c:v>2.4160931748440948</c:v>
                      </c:pt>
                      <c:pt idx="35">
                        <c:v>2.4871547388100974</c:v>
                      </c:pt>
                      <c:pt idx="36">
                        <c:v>2.5582163027761</c:v>
                      </c:pt>
                      <c:pt idx="37">
                        <c:v>2.6292778667421026</c:v>
                      </c:pt>
                      <c:pt idx="38">
                        <c:v>2.7003394307081052</c:v>
                      </c:pt>
                      <c:pt idx="39">
                        <c:v>2.7714009946741078</c:v>
                      </c:pt>
                      <c:pt idx="40">
                        <c:v>2.8424625586401104</c:v>
                      </c:pt>
                      <c:pt idx="41">
                        <c:v>2.913524122606113</c:v>
                      </c:pt>
                      <c:pt idx="42">
                        <c:v>2.9845856865721156</c:v>
                      </c:pt>
                      <c:pt idx="43">
                        <c:v>3.0556472505381183</c:v>
                      </c:pt>
                      <c:pt idx="44">
                        <c:v>3.1267088145041209</c:v>
                      </c:pt>
                      <c:pt idx="45">
                        <c:v>3.1977703784701235</c:v>
                      </c:pt>
                      <c:pt idx="46">
                        <c:v>3.2688319424361261</c:v>
                      </c:pt>
                      <c:pt idx="47">
                        <c:v>3.3398935064021287</c:v>
                      </c:pt>
                      <c:pt idx="48">
                        <c:v>3.4109550703681313</c:v>
                      </c:pt>
                      <c:pt idx="49">
                        <c:v>3.4820166343341339</c:v>
                      </c:pt>
                      <c:pt idx="50">
                        <c:v>3.5530781983001365</c:v>
                      </c:pt>
                      <c:pt idx="51">
                        <c:v>3.6241397622661391</c:v>
                      </c:pt>
                      <c:pt idx="52">
                        <c:v>3.6952013262321417</c:v>
                      </c:pt>
                      <c:pt idx="53">
                        <c:v>3.7662628901981443</c:v>
                      </c:pt>
                      <c:pt idx="54">
                        <c:v>3.8373244541641469</c:v>
                      </c:pt>
                      <c:pt idx="55">
                        <c:v>3.9083860181301495</c:v>
                      </c:pt>
                      <c:pt idx="56">
                        <c:v>3.9794475820961521</c:v>
                      </c:pt>
                      <c:pt idx="57">
                        <c:v>4.0505091460621552</c:v>
                      </c:pt>
                      <c:pt idx="58">
                        <c:v>4.1215707100281582</c:v>
                      </c:pt>
                      <c:pt idx="59">
                        <c:v>4.1926322739941613</c:v>
                      </c:pt>
                      <c:pt idx="60">
                        <c:v>4.2636938379601643</c:v>
                      </c:pt>
                      <c:pt idx="61">
                        <c:v>4.3347554019261674</c:v>
                      </c:pt>
                      <c:pt idx="62">
                        <c:v>4.4058169658921704</c:v>
                      </c:pt>
                      <c:pt idx="63">
                        <c:v>4.4768785298581735</c:v>
                      </c:pt>
                      <c:pt idx="64">
                        <c:v>4.5479400938241765</c:v>
                      </c:pt>
                      <c:pt idx="65">
                        <c:v>4.6190016577901796</c:v>
                      </c:pt>
                      <c:pt idx="66">
                        <c:v>4.6900632217561826</c:v>
                      </c:pt>
                      <c:pt idx="67">
                        <c:v>4.7611247857221857</c:v>
                      </c:pt>
                      <c:pt idx="68">
                        <c:v>4.8321863496881887</c:v>
                      </c:pt>
                      <c:pt idx="69">
                        <c:v>4.9032479136541918</c:v>
                      </c:pt>
                      <c:pt idx="70">
                        <c:v>4.9743094776201948</c:v>
                      </c:pt>
                      <c:pt idx="71">
                        <c:v>5.0453710415861979</c:v>
                      </c:pt>
                      <c:pt idx="72">
                        <c:v>5.1164326055522009</c:v>
                      </c:pt>
                      <c:pt idx="73">
                        <c:v>5.187494169518204</c:v>
                      </c:pt>
                      <c:pt idx="74">
                        <c:v>5.258555733484207</c:v>
                      </c:pt>
                      <c:pt idx="75">
                        <c:v>5.3296172974502101</c:v>
                      </c:pt>
                      <c:pt idx="76">
                        <c:v>5.4006788614162131</c:v>
                      </c:pt>
                      <c:pt idx="77">
                        <c:v>5.4717404253822162</c:v>
                      </c:pt>
                      <c:pt idx="78">
                        <c:v>5.5428019893482192</c:v>
                      </c:pt>
                      <c:pt idx="79">
                        <c:v>5.6138635533142223</c:v>
                      </c:pt>
                      <c:pt idx="80">
                        <c:v>5.6849251172802253</c:v>
                      </c:pt>
                      <c:pt idx="81">
                        <c:v>5.7559866812462284</c:v>
                      </c:pt>
                      <c:pt idx="82">
                        <c:v>5.8270482452122314</c:v>
                      </c:pt>
                      <c:pt idx="83">
                        <c:v>5.8981098091782345</c:v>
                      </c:pt>
                      <c:pt idx="84">
                        <c:v>5.9691713731442375</c:v>
                      </c:pt>
                      <c:pt idx="85">
                        <c:v>6.0402329371102406</c:v>
                      </c:pt>
                      <c:pt idx="86">
                        <c:v>6.1112945010762436</c:v>
                      </c:pt>
                      <c:pt idx="87">
                        <c:v>6.1823560650422467</c:v>
                      </c:pt>
                      <c:pt idx="88">
                        <c:v>6.2534176290082497</c:v>
                      </c:pt>
                      <c:pt idx="89">
                        <c:v>6.3244791929742528</c:v>
                      </c:pt>
                      <c:pt idx="90">
                        <c:v>6.3955407569402558</c:v>
                      </c:pt>
                      <c:pt idx="91">
                        <c:v>6.4666023209062589</c:v>
                      </c:pt>
                      <c:pt idx="92">
                        <c:v>6.5376638848722619</c:v>
                      </c:pt>
                      <c:pt idx="93">
                        <c:v>6.608725448838265</c:v>
                      </c:pt>
                      <c:pt idx="94">
                        <c:v>6.679787012804268</c:v>
                      </c:pt>
                      <c:pt idx="95">
                        <c:v>6.7508485767702711</c:v>
                      </c:pt>
                      <c:pt idx="96">
                        <c:v>6.8219101407362741</c:v>
                      </c:pt>
                      <c:pt idx="97">
                        <c:v>6.8929717047022772</c:v>
                      </c:pt>
                      <c:pt idx="98">
                        <c:v>6.9640332686682802</c:v>
                      </c:pt>
                      <c:pt idx="99">
                        <c:v>7.0350948326342833</c:v>
                      </c:pt>
                      <c:pt idx="100">
                        <c:v>7.1061563966002863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A8B-4B4A-B5A0-B58CDE15D356}"/>
                  </c:ext>
                </c:extLst>
              </c15:ser>
            </c15:filteredScatterSeries>
          </c:ext>
        </c:extLst>
      </c:scatterChart>
      <c:valAx>
        <c:axId val="29699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theta (rad)</a:t>
                </a:r>
              </a:p>
            </c:rich>
          </c:tx>
          <c:layout>
            <c:manualLayout>
              <c:xMode val="edge"/>
              <c:yMode val="edge"/>
              <c:x val="0.78316278194309386"/>
              <c:y val="0.61281732640562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996168"/>
        <c:crosses val="autoZero"/>
        <c:crossBetween val="midCat"/>
      </c:valAx>
      <c:valAx>
        <c:axId val="29699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eta (m)</a:t>
                </a:r>
              </a:p>
            </c:rich>
          </c:tx>
          <c:layout>
            <c:manualLayout>
              <c:xMode val="edge"/>
              <c:yMode val="edge"/>
              <c:x val="1.1799410029498525E-2"/>
              <c:y val="0.407999040442525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998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174097869668133"/>
          <c:y val="2.3618833360115703E-2"/>
          <c:w val="0.78777831974543"/>
          <c:h val="7.638688021140215E-2"/>
        </c:manualLayout>
      </c:layout>
      <c:overlay val="0"/>
      <c:spPr>
        <a:solidFill>
          <a:srgbClr val="FFFFCC"/>
        </a:solidFill>
        <a:ln w="19050"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99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24835043029981"/>
          <c:y val="0.1513530874566609"/>
          <c:w val="0.82009703966287084"/>
          <c:h val="0.79479778737335249"/>
        </c:manualLayout>
      </c:layout>
      <c:scatterChart>
        <c:scatterStyle val="lineMarker"/>
        <c:varyColors val="0"/>
        <c:ser>
          <c:idx val="0"/>
          <c:order val="0"/>
          <c:tx>
            <c:v>u vs. theta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Sheet1!$H$12:$H$112</c:f>
              <c:numCache>
                <c:formatCode>0.0000</c:formatCode>
                <c:ptCount val="101"/>
                <c:pt idx="0" formatCode="General">
                  <c:v>0</c:v>
                </c:pt>
                <c:pt idx="1">
                  <c:v>6.2831853071795868E-2</c:v>
                </c:pt>
                <c:pt idx="2">
                  <c:v>0.12566370614359174</c:v>
                </c:pt>
                <c:pt idx="3">
                  <c:v>0.1884955592153876</c:v>
                </c:pt>
                <c:pt idx="4">
                  <c:v>0.25132741228718347</c:v>
                </c:pt>
                <c:pt idx="5">
                  <c:v>0.31415926535897931</c:v>
                </c:pt>
                <c:pt idx="6">
                  <c:v>0.37699111843077515</c:v>
                </c:pt>
                <c:pt idx="7">
                  <c:v>0.43982297150257099</c:v>
                </c:pt>
                <c:pt idx="8">
                  <c:v>0.50265482457436683</c:v>
                </c:pt>
                <c:pt idx="9">
                  <c:v>0.56548667764616267</c:v>
                </c:pt>
                <c:pt idx="10">
                  <c:v>0.62831853071795851</c:v>
                </c:pt>
                <c:pt idx="11">
                  <c:v>0.69115038378975435</c:v>
                </c:pt>
                <c:pt idx="12">
                  <c:v>0.75398223686155019</c:v>
                </c:pt>
                <c:pt idx="13">
                  <c:v>0.81681408993334603</c:v>
                </c:pt>
                <c:pt idx="14">
                  <c:v>0.87964594300514187</c:v>
                </c:pt>
                <c:pt idx="15">
                  <c:v>0.94247779607693771</c:v>
                </c:pt>
                <c:pt idx="16">
                  <c:v>1.0053096491487337</c:v>
                </c:pt>
                <c:pt idx="17">
                  <c:v>1.0681415022205296</c:v>
                </c:pt>
                <c:pt idx="18">
                  <c:v>1.1309733552923256</c:v>
                </c:pt>
                <c:pt idx="19">
                  <c:v>1.1938052083641215</c:v>
                </c:pt>
                <c:pt idx="20">
                  <c:v>1.2566370614359175</c:v>
                </c:pt>
                <c:pt idx="21">
                  <c:v>1.3194689145077134</c:v>
                </c:pt>
                <c:pt idx="22">
                  <c:v>1.3823007675795094</c:v>
                </c:pt>
                <c:pt idx="23">
                  <c:v>1.4451326206513053</c:v>
                </c:pt>
                <c:pt idx="24">
                  <c:v>1.5079644737231013</c:v>
                </c:pt>
                <c:pt idx="25">
                  <c:v>1.5707963267948972</c:v>
                </c:pt>
                <c:pt idx="26">
                  <c:v>1.6336281798666932</c:v>
                </c:pt>
                <c:pt idx="27">
                  <c:v>1.6964600329384891</c:v>
                </c:pt>
                <c:pt idx="28">
                  <c:v>1.7592918860102851</c:v>
                </c:pt>
                <c:pt idx="29">
                  <c:v>1.822123739082081</c:v>
                </c:pt>
                <c:pt idx="30">
                  <c:v>1.884955592153877</c:v>
                </c:pt>
                <c:pt idx="31">
                  <c:v>1.9477874452256729</c:v>
                </c:pt>
                <c:pt idx="32">
                  <c:v>2.0106192982974687</c:v>
                </c:pt>
                <c:pt idx="33">
                  <c:v>2.0734511513692646</c:v>
                </c:pt>
                <c:pt idx="34">
                  <c:v>2.1362830044410606</c:v>
                </c:pt>
                <c:pt idx="35">
                  <c:v>2.1991148575128565</c:v>
                </c:pt>
                <c:pt idx="36">
                  <c:v>2.2619467105846525</c:v>
                </c:pt>
                <c:pt idx="37">
                  <c:v>2.3247785636564484</c:v>
                </c:pt>
                <c:pt idx="38">
                  <c:v>2.3876104167282444</c:v>
                </c:pt>
                <c:pt idx="39">
                  <c:v>2.4504422698000403</c:v>
                </c:pt>
                <c:pt idx="40">
                  <c:v>2.5132741228718363</c:v>
                </c:pt>
                <c:pt idx="41">
                  <c:v>2.5761059759436322</c:v>
                </c:pt>
                <c:pt idx="42">
                  <c:v>2.6389378290154282</c:v>
                </c:pt>
                <c:pt idx="43">
                  <c:v>2.7017696820872241</c:v>
                </c:pt>
                <c:pt idx="44">
                  <c:v>2.7646015351590201</c:v>
                </c:pt>
                <c:pt idx="45">
                  <c:v>2.827433388230816</c:v>
                </c:pt>
                <c:pt idx="46">
                  <c:v>2.890265241302612</c:v>
                </c:pt>
                <c:pt idx="47">
                  <c:v>2.9530970943744079</c:v>
                </c:pt>
                <c:pt idx="48">
                  <c:v>3.0159289474462039</c:v>
                </c:pt>
                <c:pt idx="49">
                  <c:v>3.0787608005179998</c:v>
                </c:pt>
                <c:pt idx="50">
                  <c:v>3.1415926535897958</c:v>
                </c:pt>
                <c:pt idx="51">
                  <c:v>3.2044245066615917</c:v>
                </c:pt>
                <c:pt idx="52">
                  <c:v>3.2672563597333877</c:v>
                </c:pt>
                <c:pt idx="53">
                  <c:v>3.3300882128051836</c:v>
                </c:pt>
                <c:pt idx="54">
                  <c:v>3.3929200658769796</c:v>
                </c:pt>
                <c:pt idx="55">
                  <c:v>3.4557519189487755</c:v>
                </c:pt>
                <c:pt idx="56">
                  <c:v>3.5185837720205715</c:v>
                </c:pt>
                <c:pt idx="57">
                  <c:v>3.5814156250923674</c:v>
                </c:pt>
                <c:pt idx="58">
                  <c:v>3.6442474781641634</c:v>
                </c:pt>
                <c:pt idx="59">
                  <c:v>3.7070793312359593</c:v>
                </c:pt>
                <c:pt idx="60">
                  <c:v>3.7699111843077553</c:v>
                </c:pt>
                <c:pt idx="61">
                  <c:v>3.8327430373795512</c:v>
                </c:pt>
                <c:pt idx="62">
                  <c:v>3.8955748904513472</c:v>
                </c:pt>
                <c:pt idx="63">
                  <c:v>3.9584067435231431</c:v>
                </c:pt>
                <c:pt idx="64">
                  <c:v>4.0212385965949391</c:v>
                </c:pt>
                <c:pt idx="65">
                  <c:v>4.0840704496667346</c:v>
                </c:pt>
                <c:pt idx="66">
                  <c:v>4.1469023027385301</c:v>
                </c:pt>
                <c:pt idx="67">
                  <c:v>4.2097341558103256</c:v>
                </c:pt>
                <c:pt idx="68">
                  <c:v>4.2725660088821211</c:v>
                </c:pt>
                <c:pt idx="69">
                  <c:v>4.3353978619539166</c:v>
                </c:pt>
                <c:pt idx="70">
                  <c:v>4.3982297150257121</c:v>
                </c:pt>
                <c:pt idx="71">
                  <c:v>4.4610615680975076</c:v>
                </c:pt>
                <c:pt idx="72">
                  <c:v>4.5238934211693032</c:v>
                </c:pt>
                <c:pt idx="73">
                  <c:v>4.5867252742410987</c:v>
                </c:pt>
                <c:pt idx="74">
                  <c:v>4.6495571273128942</c:v>
                </c:pt>
                <c:pt idx="75">
                  <c:v>4.7123889803846897</c:v>
                </c:pt>
                <c:pt idx="76">
                  <c:v>4.7752208334564852</c:v>
                </c:pt>
                <c:pt idx="77">
                  <c:v>4.8380526865282807</c:v>
                </c:pt>
                <c:pt idx="78">
                  <c:v>4.9008845396000762</c:v>
                </c:pt>
                <c:pt idx="79">
                  <c:v>4.9637163926718717</c:v>
                </c:pt>
                <c:pt idx="80">
                  <c:v>5.0265482457436672</c:v>
                </c:pt>
                <c:pt idx="81">
                  <c:v>5.0893800988154627</c:v>
                </c:pt>
                <c:pt idx="82">
                  <c:v>5.1522119518872582</c:v>
                </c:pt>
                <c:pt idx="83">
                  <c:v>5.2150438049590537</c:v>
                </c:pt>
                <c:pt idx="84">
                  <c:v>5.2778756580308492</c:v>
                </c:pt>
                <c:pt idx="85">
                  <c:v>5.3407075111026447</c:v>
                </c:pt>
                <c:pt idx="86">
                  <c:v>5.4035393641744403</c:v>
                </c:pt>
                <c:pt idx="87">
                  <c:v>5.4663712172462358</c:v>
                </c:pt>
                <c:pt idx="88">
                  <c:v>5.5292030703180313</c:v>
                </c:pt>
                <c:pt idx="89">
                  <c:v>5.5920349233898268</c:v>
                </c:pt>
                <c:pt idx="90">
                  <c:v>5.6548667764616223</c:v>
                </c:pt>
                <c:pt idx="91">
                  <c:v>5.7176986295334178</c:v>
                </c:pt>
                <c:pt idx="92">
                  <c:v>5.7805304826052133</c:v>
                </c:pt>
                <c:pt idx="93">
                  <c:v>5.8433623356770088</c:v>
                </c:pt>
                <c:pt idx="94">
                  <c:v>5.9061941887488043</c:v>
                </c:pt>
                <c:pt idx="95">
                  <c:v>5.9690260418205998</c:v>
                </c:pt>
                <c:pt idx="96">
                  <c:v>6.0318578948923953</c:v>
                </c:pt>
                <c:pt idx="97">
                  <c:v>6.0946897479641908</c:v>
                </c:pt>
                <c:pt idx="98">
                  <c:v>6.1575216010359863</c:v>
                </c:pt>
                <c:pt idx="99">
                  <c:v>6.2203534541077818</c:v>
                </c:pt>
                <c:pt idx="100">
                  <c:v>6.2831853071795774</c:v>
                </c:pt>
              </c:numCache>
            </c:numRef>
          </c:xVal>
          <c:yVal>
            <c:numRef>
              <c:f>Sheet1!$Q$12:$Q$112</c:f>
              <c:numCache>
                <c:formatCode>0.00000</c:formatCode>
                <c:ptCount val="101"/>
                <c:pt idx="0">
                  <c:v>6.7244088457140609</c:v>
                </c:pt>
                <c:pt idx="1">
                  <c:v>6.6644394495361192</c:v>
                </c:pt>
                <c:pt idx="2">
                  <c:v>6.4895293342633602</c:v>
                </c:pt>
                <c:pt idx="3">
                  <c:v>6.2137341149240859</c:v>
                </c:pt>
                <c:pt idx="4">
                  <c:v>5.8576446827391004</c:v>
                </c:pt>
                <c:pt idx="5">
                  <c:v>5.4450266539840655</c:v>
                </c:pt>
                <c:pt idx="6">
                  <c:v>4.9994979510847077</c:v>
                </c:pt>
                <c:pt idx="7">
                  <c:v>4.5419319004564311</c:v>
                </c:pt>
                <c:pt idx="8">
                  <c:v>4.0889143954529281</c:v>
                </c:pt>
                <c:pt idx="9">
                  <c:v>3.6522360001631156</c:v>
                </c:pt>
                <c:pt idx="10">
                  <c:v>3.2391771329521788</c:v>
                </c:pt>
                <c:pt idx="11">
                  <c:v>2.8532684681403264</c:v>
                </c:pt>
                <c:pt idx="12">
                  <c:v>2.4952400989616668</c:v>
                </c:pt>
                <c:pt idx="13">
                  <c:v>2.1639551288680554</c:v>
                </c:pt>
                <c:pt idx="14">
                  <c:v>1.8572111504864344</c:v>
                </c:pt>
                <c:pt idx="15">
                  <c:v>1.5723623904255983</c:v>
                </c:pt>
                <c:pt idx="16">
                  <c:v>1.3067596110392605</c:v>
                </c:pt>
                <c:pt idx="17">
                  <c:v>1.0580277795850577</c:v>
                </c:pt>
                <c:pt idx="18">
                  <c:v>0.8242102415804804</c:v>
                </c:pt>
                <c:pt idx="19">
                  <c:v>0.60380945332708147</c:v>
                </c:pt>
                <c:pt idx="20">
                  <c:v>0.39575288396948599</c:v>
                </c:pt>
                <c:pt idx="21">
                  <c:v>0.19931073583505576</c:v>
                </c:pt>
                <c:pt idx="22">
                  <c:v>1.3990024978239859E-2</c:v>
                </c:pt>
                <c:pt idx="23">
                  <c:v>-0.16057330929031444</c:v>
                </c:pt>
                <c:pt idx="24">
                  <c:v>-0.32470693148190233</c:v>
                </c:pt>
                <c:pt idx="25">
                  <c:v>-0.47876783709821263</c:v>
                </c:pt>
                <c:pt idx="26">
                  <c:v>-0.62317661015572634</c:v>
                </c:pt>
                <c:pt idx="27">
                  <c:v>-0.75842195671986012</c:v>
                </c:pt>
                <c:pt idx="28">
                  <c:v>-0.88504211405472866</c:v>
                </c:pt>
                <c:pt idx="29">
                  <c:v>-1.0035923115360761</c:v>
                </c:pt>
                <c:pt idx="30">
                  <c:v>-1.1146077335543201</c:v>
                </c:pt>
                <c:pt idx="31">
                  <c:v>-1.2185699462225374</c:v>
                </c:pt>
                <c:pt idx="32">
                  <c:v>-1.3158822929788092</c:v>
                </c:pt>
                <c:pt idx="33">
                  <c:v>-1.4068570811241468</c:v>
                </c:pt>
                <c:pt idx="34">
                  <c:v>-1.4917149852504386</c:v>
                </c:pt>
                <c:pt idx="35">
                  <c:v>-1.5705952427279559</c:v>
                </c:pt>
                <c:pt idx="36">
                  <c:v>-1.6435739829224671</c:v>
                </c:pt>
                <c:pt idx="37">
                  <c:v>-1.7106873892700025</c:v>
                </c:pt>
                <c:pt idx="38">
                  <c:v>-1.7719562736654615</c:v>
                </c:pt>
                <c:pt idx="39">
                  <c:v>-1.8274089516326784</c:v>
                </c:pt>
                <c:pt idx="40">
                  <c:v>-1.8770999218815394</c:v>
                </c:pt>
                <c:pt idx="41">
                  <c:v>-1.921122633320534</c:v>
                </c:pt>
                <c:pt idx="42">
                  <c:v>-1.9596154353280071</c:v>
                </c:pt>
                <c:pt idx="43">
                  <c:v>-1.9927605657287228</c:v>
                </c:pt>
                <c:pt idx="44">
                  <c:v>-2.0207767004077026</c:v>
                </c:pt>
                <c:pt idx="45">
                  <c:v>-2.0439061617659577</c:v>
                </c:pt>
                <c:pt idx="46">
                  <c:v>-2.0623983449834471</c:v>
                </c:pt>
                <c:pt idx="47">
                  <c:v>-2.0764912316065436</c:v>
                </c:pt>
                <c:pt idx="48">
                  <c:v>-2.0863929726910433</c:v>
                </c:pt>
                <c:pt idx="49">
                  <c:v>-2.0922654193950301</c:v>
                </c:pt>
                <c:pt idx="50">
                  <c:v>-2.0942111864057211</c:v>
                </c:pt>
                <c:pt idx="51">
                  <c:v>-2.0922654193950301</c:v>
                </c:pt>
                <c:pt idx="52">
                  <c:v>-2.0863929726910433</c:v>
                </c:pt>
                <c:pt idx="53">
                  <c:v>-2.0764912316065427</c:v>
                </c:pt>
                <c:pt idx="54">
                  <c:v>-2.0623983449834467</c:v>
                </c:pt>
                <c:pt idx="55">
                  <c:v>-2.0439061617659555</c:v>
                </c:pt>
                <c:pt idx="56">
                  <c:v>-2.0207767004077</c:v>
                </c:pt>
                <c:pt idx="57">
                  <c:v>-1.9927605657287195</c:v>
                </c:pt>
                <c:pt idx="58">
                  <c:v>-1.9596154353280044</c:v>
                </c:pt>
                <c:pt idx="59">
                  <c:v>-1.92112263332053</c:v>
                </c:pt>
                <c:pt idx="60">
                  <c:v>-1.8770999218815354</c:v>
                </c:pt>
                <c:pt idx="61">
                  <c:v>-1.8274089516326739</c:v>
                </c:pt>
                <c:pt idx="62">
                  <c:v>-1.7719562736654573</c:v>
                </c:pt>
                <c:pt idx="63">
                  <c:v>-1.7106873892699972</c:v>
                </c:pt>
                <c:pt idx="64">
                  <c:v>-1.6435739829224612</c:v>
                </c:pt>
                <c:pt idx="65">
                  <c:v>-1.5705952427279504</c:v>
                </c:pt>
                <c:pt idx="66">
                  <c:v>-1.4917149852504332</c:v>
                </c:pt>
                <c:pt idx="67">
                  <c:v>-1.4068570811241414</c:v>
                </c:pt>
                <c:pt idx="68">
                  <c:v>-1.3158822929788048</c:v>
                </c:pt>
                <c:pt idx="69">
                  <c:v>-1.2185699462225326</c:v>
                </c:pt>
                <c:pt idx="70">
                  <c:v>-1.1146077335543156</c:v>
                </c:pt>
                <c:pt idx="71">
                  <c:v>-1.0035923115360723</c:v>
                </c:pt>
                <c:pt idx="72">
                  <c:v>-0.88504211405472544</c:v>
                </c:pt>
                <c:pt idx="73">
                  <c:v>-0.75842195671985735</c:v>
                </c:pt>
                <c:pt idx="74">
                  <c:v>-0.62317661015572434</c:v>
                </c:pt>
                <c:pt idx="75">
                  <c:v>-0.47876783709821152</c:v>
                </c:pt>
                <c:pt idx="76">
                  <c:v>-0.32470693148190249</c:v>
                </c:pt>
                <c:pt idx="77">
                  <c:v>-0.16057330929031566</c:v>
                </c:pt>
                <c:pt idx="78">
                  <c:v>1.3990024978237325E-2</c:v>
                </c:pt>
                <c:pt idx="79">
                  <c:v>0.19931073583505166</c:v>
                </c:pt>
                <c:pt idx="80">
                  <c:v>0.39575288396948</c:v>
                </c:pt>
                <c:pt idx="81">
                  <c:v>0.60380945332707403</c:v>
                </c:pt>
                <c:pt idx="82">
                  <c:v>0.82421024158047085</c:v>
                </c:pt>
                <c:pt idx="83">
                  <c:v>1.0580277795850457</c:v>
                </c:pt>
                <c:pt idx="84">
                  <c:v>1.3067596110392465</c:v>
                </c:pt>
                <c:pt idx="85">
                  <c:v>1.5723623904255806</c:v>
                </c:pt>
                <c:pt idx="86">
                  <c:v>1.8572111504864146</c:v>
                </c:pt>
                <c:pt idx="87">
                  <c:v>2.1639551288680323</c:v>
                </c:pt>
                <c:pt idx="88">
                  <c:v>2.4952400989616388</c:v>
                </c:pt>
                <c:pt idx="89">
                  <c:v>2.8532684681402944</c:v>
                </c:pt>
                <c:pt idx="90">
                  <c:v>3.2391771329521424</c:v>
                </c:pt>
                <c:pt idx="91">
                  <c:v>3.6522360001630751</c:v>
                </c:pt>
                <c:pt idx="92">
                  <c:v>4.0889143954528828</c:v>
                </c:pt>
                <c:pt idx="93">
                  <c:v>4.5419319004563823</c:v>
                </c:pt>
                <c:pt idx="94">
                  <c:v>4.9994979510846562</c:v>
                </c:pt>
                <c:pt idx="95">
                  <c:v>5.4450266539840166</c:v>
                </c:pt>
                <c:pt idx="96">
                  <c:v>5.8576446827390489</c:v>
                </c:pt>
                <c:pt idx="97">
                  <c:v>6.2137341149240441</c:v>
                </c:pt>
                <c:pt idx="98">
                  <c:v>6.48952933426333</c:v>
                </c:pt>
                <c:pt idx="99">
                  <c:v>6.6644394495361023</c:v>
                </c:pt>
                <c:pt idx="100">
                  <c:v>6.7244088457140609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ED-4FA3-86E4-9B82A63DB67E}"/>
            </c:ext>
          </c:extLst>
        </c:ser>
        <c:ser>
          <c:idx val="1"/>
          <c:order val="1"/>
          <c:tx>
            <c:v>u_lin vs theta</c:v>
          </c:tx>
          <c:spPr>
            <a:ln w="158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olid"/>
              </a:ln>
              <a:effectLst/>
            </c:spPr>
          </c:marker>
          <c:dPt>
            <c:idx val="60"/>
            <c:marker>
              <c:symbol val="circle"/>
              <c:size val="4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  <a:prstDash val="dash"/>
                </a:ln>
                <a:effectLst/>
              </c:spPr>
            </c:marker>
            <c:bubble3D val="0"/>
            <c:spPr>
              <a:ln w="15875" cap="rnd">
                <a:solidFill>
                  <a:schemeClr val="tx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BED-4FA3-86E4-9B82A63DB67E}"/>
              </c:ext>
            </c:extLst>
          </c:dPt>
          <c:xVal>
            <c:numRef>
              <c:f>Sheet1!$H$12:$H$112</c:f>
              <c:numCache>
                <c:formatCode>0.0000</c:formatCode>
                <c:ptCount val="101"/>
                <c:pt idx="0" formatCode="General">
                  <c:v>0</c:v>
                </c:pt>
                <c:pt idx="1">
                  <c:v>6.2831853071795868E-2</c:v>
                </c:pt>
                <c:pt idx="2">
                  <c:v>0.12566370614359174</c:v>
                </c:pt>
                <c:pt idx="3">
                  <c:v>0.1884955592153876</c:v>
                </c:pt>
                <c:pt idx="4">
                  <c:v>0.25132741228718347</c:v>
                </c:pt>
                <c:pt idx="5">
                  <c:v>0.31415926535897931</c:v>
                </c:pt>
                <c:pt idx="6">
                  <c:v>0.37699111843077515</c:v>
                </c:pt>
                <c:pt idx="7">
                  <c:v>0.43982297150257099</c:v>
                </c:pt>
                <c:pt idx="8">
                  <c:v>0.50265482457436683</c:v>
                </c:pt>
                <c:pt idx="9">
                  <c:v>0.56548667764616267</c:v>
                </c:pt>
                <c:pt idx="10">
                  <c:v>0.62831853071795851</c:v>
                </c:pt>
                <c:pt idx="11">
                  <c:v>0.69115038378975435</c:v>
                </c:pt>
                <c:pt idx="12">
                  <c:v>0.75398223686155019</c:v>
                </c:pt>
                <c:pt idx="13">
                  <c:v>0.81681408993334603</c:v>
                </c:pt>
                <c:pt idx="14">
                  <c:v>0.87964594300514187</c:v>
                </c:pt>
                <c:pt idx="15">
                  <c:v>0.94247779607693771</c:v>
                </c:pt>
                <c:pt idx="16">
                  <c:v>1.0053096491487337</c:v>
                </c:pt>
                <c:pt idx="17">
                  <c:v>1.0681415022205296</c:v>
                </c:pt>
                <c:pt idx="18">
                  <c:v>1.1309733552923256</c:v>
                </c:pt>
                <c:pt idx="19">
                  <c:v>1.1938052083641215</c:v>
                </c:pt>
                <c:pt idx="20">
                  <c:v>1.2566370614359175</c:v>
                </c:pt>
                <c:pt idx="21">
                  <c:v>1.3194689145077134</c:v>
                </c:pt>
                <c:pt idx="22">
                  <c:v>1.3823007675795094</c:v>
                </c:pt>
                <c:pt idx="23">
                  <c:v>1.4451326206513053</c:v>
                </c:pt>
                <c:pt idx="24">
                  <c:v>1.5079644737231013</c:v>
                </c:pt>
                <c:pt idx="25">
                  <c:v>1.5707963267948972</c:v>
                </c:pt>
                <c:pt idx="26">
                  <c:v>1.6336281798666932</c:v>
                </c:pt>
                <c:pt idx="27">
                  <c:v>1.6964600329384891</c:v>
                </c:pt>
                <c:pt idx="28">
                  <c:v>1.7592918860102851</c:v>
                </c:pt>
                <c:pt idx="29">
                  <c:v>1.822123739082081</c:v>
                </c:pt>
                <c:pt idx="30">
                  <c:v>1.884955592153877</c:v>
                </c:pt>
                <c:pt idx="31">
                  <c:v>1.9477874452256729</c:v>
                </c:pt>
                <c:pt idx="32">
                  <c:v>2.0106192982974687</c:v>
                </c:pt>
                <c:pt idx="33">
                  <c:v>2.0734511513692646</c:v>
                </c:pt>
                <c:pt idx="34">
                  <c:v>2.1362830044410606</c:v>
                </c:pt>
                <c:pt idx="35">
                  <c:v>2.1991148575128565</c:v>
                </c:pt>
                <c:pt idx="36">
                  <c:v>2.2619467105846525</c:v>
                </c:pt>
                <c:pt idx="37">
                  <c:v>2.3247785636564484</c:v>
                </c:pt>
                <c:pt idx="38">
                  <c:v>2.3876104167282444</c:v>
                </c:pt>
                <c:pt idx="39">
                  <c:v>2.4504422698000403</c:v>
                </c:pt>
                <c:pt idx="40">
                  <c:v>2.5132741228718363</c:v>
                </c:pt>
                <c:pt idx="41">
                  <c:v>2.5761059759436322</c:v>
                </c:pt>
                <c:pt idx="42">
                  <c:v>2.6389378290154282</c:v>
                </c:pt>
                <c:pt idx="43">
                  <c:v>2.7017696820872241</c:v>
                </c:pt>
                <c:pt idx="44">
                  <c:v>2.7646015351590201</c:v>
                </c:pt>
                <c:pt idx="45">
                  <c:v>2.827433388230816</c:v>
                </c:pt>
                <c:pt idx="46">
                  <c:v>2.890265241302612</c:v>
                </c:pt>
                <c:pt idx="47">
                  <c:v>2.9530970943744079</c:v>
                </c:pt>
                <c:pt idx="48">
                  <c:v>3.0159289474462039</c:v>
                </c:pt>
                <c:pt idx="49">
                  <c:v>3.0787608005179998</c:v>
                </c:pt>
                <c:pt idx="50">
                  <c:v>3.1415926535897958</c:v>
                </c:pt>
                <c:pt idx="51">
                  <c:v>3.2044245066615917</c:v>
                </c:pt>
                <c:pt idx="52">
                  <c:v>3.2672563597333877</c:v>
                </c:pt>
                <c:pt idx="53">
                  <c:v>3.3300882128051836</c:v>
                </c:pt>
                <c:pt idx="54">
                  <c:v>3.3929200658769796</c:v>
                </c:pt>
                <c:pt idx="55">
                  <c:v>3.4557519189487755</c:v>
                </c:pt>
                <c:pt idx="56">
                  <c:v>3.5185837720205715</c:v>
                </c:pt>
                <c:pt idx="57">
                  <c:v>3.5814156250923674</c:v>
                </c:pt>
                <c:pt idx="58">
                  <c:v>3.6442474781641634</c:v>
                </c:pt>
                <c:pt idx="59">
                  <c:v>3.7070793312359593</c:v>
                </c:pt>
                <c:pt idx="60">
                  <c:v>3.7699111843077553</c:v>
                </c:pt>
                <c:pt idx="61">
                  <c:v>3.8327430373795512</c:v>
                </c:pt>
                <c:pt idx="62">
                  <c:v>3.8955748904513472</c:v>
                </c:pt>
                <c:pt idx="63">
                  <c:v>3.9584067435231431</c:v>
                </c:pt>
                <c:pt idx="64">
                  <c:v>4.0212385965949391</c:v>
                </c:pt>
                <c:pt idx="65">
                  <c:v>4.0840704496667346</c:v>
                </c:pt>
                <c:pt idx="66">
                  <c:v>4.1469023027385301</c:v>
                </c:pt>
                <c:pt idx="67">
                  <c:v>4.2097341558103256</c:v>
                </c:pt>
                <c:pt idx="68">
                  <c:v>4.2725660088821211</c:v>
                </c:pt>
                <c:pt idx="69">
                  <c:v>4.3353978619539166</c:v>
                </c:pt>
                <c:pt idx="70">
                  <c:v>4.3982297150257121</c:v>
                </c:pt>
                <c:pt idx="71">
                  <c:v>4.4610615680975076</c:v>
                </c:pt>
                <c:pt idx="72">
                  <c:v>4.5238934211693032</c:v>
                </c:pt>
                <c:pt idx="73">
                  <c:v>4.5867252742410987</c:v>
                </c:pt>
                <c:pt idx="74">
                  <c:v>4.6495571273128942</c:v>
                </c:pt>
                <c:pt idx="75">
                  <c:v>4.7123889803846897</c:v>
                </c:pt>
                <c:pt idx="76">
                  <c:v>4.7752208334564852</c:v>
                </c:pt>
                <c:pt idx="77">
                  <c:v>4.8380526865282807</c:v>
                </c:pt>
                <c:pt idx="78">
                  <c:v>4.9008845396000762</c:v>
                </c:pt>
                <c:pt idx="79">
                  <c:v>4.9637163926718717</c:v>
                </c:pt>
                <c:pt idx="80">
                  <c:v>5.0265482457436672</c:v>
                </c:pt>
                <c:pt idx="81">
                  <c:v>5.0893800988154627</c:v>
                </c:pt>
                <c:pt idx="82">
                  <c:v>5.1522119518872582</c:v>
                </c:pt>
                <c:pt idx="83">
                  <c:v>5.2150438049590537</c:v>
                </c:pt>
                <c:pt idx="84">
                  <c:v>5.2778756580308492</c:v>
                </c:pt>
                <c:pt idx="85">
                  <c:v>5.3407075111026447</c:v>
                </c:pt>
                <c:pt idx="86">
                  <c:v>5.4035393641744403</c:v>
                </c:pt>
                <c:pt idx="87">
                  <c:v>5.4663712172462358</c:v>
                </c:pt>
                <c:pt idx="88">
                  <c:v>5.5292030703180313</c:v>
                </c:pt>
                <c:pt idx="89">
                  <c:v>5.5920349233898268</c:v>
                </c:pt>
                <c:pt idx="90">
                  <c:v>5.6548667764616223</c:v>
                </c:pt>
                <c:pt idx="91">
                  <c:v>5.7176986295334178</c:v>
                </c:pt>
                <c:pt idx="92">
                  <c:v>5.7805304826052133</c:v>
                </c:pt>
                <c:pt idx="93">
                  <c:v>5.8433623356770088</c:v>
                </c:pt>
                <c:pt idx="94">
                  <c:v>5.9061941887488043</c:v>
                </c:pt>
                <c:pt idx="95">
                  <c:v>5.9690260418205998</c:v>
                </c:pt>
                <c:pt idx="96">
                  <c:v>6.0318578948923953</c:v>
                </c:pt>
                <c:pt idx="97">
                  <c:v>6.0946897479641908</c:v>
                </c:pt>
                <c:pt idx="98">
                  <c:v>6.1575216010359863</c:v>
                </c:pt>
                <c:pt idx="99">
                  <c:v>6.2203534541077818</c:v>
                </c:pt>
                <c:pt idx="100">
                  <c:v>6.2831853071795774</c:v>
                </c:pt>
              </c:numCache>
            </c:numRef>
          </c:xVal>
          <c:yVal>
            <c:numRef>
              <c:f>Sheet1!$K$12:$K$112</c:f>
              <c:numCache>
                <c:formatCode>0.00000</c:formatCode>
                <c:ptCount val="101"/>
                <c:pt idx="0">
                  <c:v>3.8177235514862375</c:v>
                </c:pt>
                <c:pt idx="1">
                  <c:v>3.8101901461333716</c:v>
                </c:pt>
                <c:pt idx="2">
                  <c:v>3.7876196609840163</c:v>
                </c:pt>
                <c:pt idx="3">
                  <c:v>3.7501011714315817</c:v>
                </c:pt>
                <c:pt idx="4">
                  <c:v>3.6977827458137642</c:v>
                </c:pt>
                <c:pt idx="5">
                  <c:v>3.6308708610544622</c:v>
                </c:pt>
                <c:pt idx="6">
                  <c:v>3.5496295877936892</c:v>
                </c:pt>
                <c:pt idx="7">
                  <c:v>3.4543795482213966</c:v>
                </c:pt>
                <c:pt idx="8">
                  <c:v>3.3454966507281729</c:v>
                </c:pt>
                <c:pt idx="9">
                  <c:v>3.2234106063665608</c:v>
                </c:pt>
                <c:pt idx="10">
                  <c:v>3.0886032329778459</c:v>
                </c:pt>
                <c:pt idx="11">
                  <c:v>2.9416065536771643</c:v>
                </c:pt>
                <c:pt idx="12">
                  <c:v>2.7830006972013197</c:v>
                </c:pt>
                <c:pt idx="13">
                  <c:v>2.6134116084056997</c:v>
                </c:pt>
                <c:pt idx="14">
                  <c:v>2.4335085779458954</c:v>
                </c:pt>
                <c:pt idx="15">
                  <c:v>2.2440016008932555</c:v>
                </c:pt>
                <c:pt idx="16">
                  <c:v>2.0456385747087036</c:v>
                </c:pt>
                <c:pt idx="17">
                  <c:v>1.8392023476331441</c:v>
                </c:pt>
                <c:pt idx="18">
                  <c:v>1.6255076291431034</c:v>
                </c:pt>
                <c:pt idx="19">
                  <c:v>1.4053977746646309</c:v>
                </c:pt>
                <c:pt idx="20">
                  <c:v>1.1797414572347265</c:v>
                </c:pt>
                <c:pt idx="21">
                  <c:v>0.9494292392457202</c:v>
                </c:pt>
                <c:pt idx="22">
                  <c:v>0.71537005780237128</c:v>
                </c:pt>
                <c:pt idx="23">
                  <c:v>0.47848763756236806</c:v>
                </c:pt>
                <c:pt idx="24">
                  <c:v>0.23971684521711425</c:v>
                </c:pt>
                <c:pt idx="25">
                  <c:v>-2.3092508475896663E-15</c:v>
                </c:pt>
                <c:pt idx="26">
                  <c:v>-0.23971684521711886</c:v>
                </c:pt>
                <c:pt idx="27">
                  <c:v>-0.47848763756237261</c:v>
                </c:pt>
                <c:pt idx="28">
                  <c:v>-0.71537005780237584</c:v>
                </c:pt>
                <c:pt idx="29">
                  <c:v>-0.94942923924572464</c:v>
                </c:pt>
                <c:pt idx="30">
                  <c:v>-1.1797414572347307</c:v>
                </c:pt>
                <c:pt idx="31">
                  <c:v>-1.4053977746646353</c:v>
                </c:pt>
                <c:pt idx="32">
                  <c:v>-1.6255076291431068</c:v>
                </c:pt>
                <c:pt idx="33">
                  <c:v>-1.8392023476331474</c:v>
                </c:pt>
                <c:pt idx="34">
                  <c:v>-2.0456385747087067</c:v>
                </c:pt>
                <c:pt idx="35">
                  <c:v>-2.2440016008932586</c:v>
                </c:pt>
                <c:pt idx="36">
                  <c:v>-2.4335085779458989</c:v>
                </c:pt>
                <c:pt idx="37">
                  <c:v>-2.6134116084057029</c:v>
                </c:pt>
                <c:pt idx="38">
                  <c:v>-2.7830006972013228</c:v>
                </c:pt>
                <c:pt idx="39">
                  <c:v>-2.9416065536771674</c:v>
                </c:pt>
                <c:pt idx="40">
                  <c:v>-3.0886032329778494</c:v>
                </c:pt>
                <c:pt idx="41">
                  <c:v>-3.2234106063665644</c:v>
                </c:pt>
                <c:pt idx="42">
                  <c:v>-3.3454966507281765</c:v>
                </c:pt>
                <c:pt idx="43">
                  <c:v>-3.4543795482213993</c:v>
                </c:pt>
                <c:pt idx="44">
                  <c:v>-3.5496295877936914</c:v>
                </c:pt>
                <c:pt idx="45">
                  <c:v>-3.6308708610544649</c:v>
                </c:pt>
                <c:pt idx="46">
                  <c:v>-3.6977827458137664</c:v>
                </c:pt>
                <c:pt idx="47">
                  <c:v>-3.7501011714315831</c:v>
                </c:pt>
                <c:pt idx="48">
                  <c:v>-3.7876196609840171</c:v>
                </c:pt>
                <c:pt idx="49">
                  <c:v>-3.810190146133372</c:v>
                </c:pt>
                <c:pt idx="50">
                  <c:v>-3.8177235514862375</c:v>
                </c:pt>
                <c:pt idx="51">
                  <c:v>-3.8101901461333711</c:v>
                </c:pt>
                <c:pt idx="52">
                  <c:v>-3.7876196609840149</c:v>
                </c:pt>
                <c:pt idx="53">
                  <c:v>-3.7501011714315795</c:v>
                </c:pt>
                <c:pt idx="54">
                  <c:v>-3.6977827458137615</c:v>
                </c:pt>
                <c:pt idx="55">
                  <c:v>-3.6308708610544591</c:v>
                </c:pt>
                <c:pt idx="56">
                  <c:v>-3.5496295877936843</c:v>
                </c:pt>
                <c:pt idx="57">
                  <c:v>-3.4543795482213908</c:v>
                </c:pt>
                <c:pt idx="58">
                  <c:v>-3.3454966507281672</c:v>
                </c:pt>
                <c:pt idx="59">
                  <c:v>-3.2234106063665537</c:v>
                </c:pt>
                <c:pt idx="60">
                  <c:v>-3.0886032329778383</c:v>
                </c:pt>
                <c:pt idx="61">
                  <c:v>-2.9416065536771554</c:v>
                </c:pt>
                <c:pt idx="62">
                  <c:v>-2.7830006972013099</c:v>
                </c:pt>
                <c:pt idx="63">
                  <c:v>-2.6134116084056886</c:v>
                </c:pt>
                <c:pt idx="64">
                  <c:v>-2.4335085779458838</c:v>
                </c:pt>
                <c:pt idx="65">
                  <c:v>-2.244001600893244</c:v>
                </c:pt>
                <c:pt idx="66">
                  <c:v>-2.0456385747086934</c:v>
                </c:pt>
                <c:pt idx="67">
                  <c:v>-1.8392023476331349</c:v>
                </c:pt>
                <c:pt idx="68">
                  <c:v>-1.6255076291430954</c:v>
                </c:pt>
                <c:pt idx="69">
                  <c:v>-1.4053977746646245</c:v>
                </c:pt>
                <c:pt idx="70">
                  <c:v>-1.1797414572347211</c:v>
                </c:pt>
                <c:pt idx="71">
                  <c:v>-0.94942923924571643</c:v>
                </c:pt>
                <c:pt idx="72">
                  <c:v>-0.71537005780236929</c:v>
                </c:pt>
                <c:pt idx="73">
                  <c:v>-0.47848763756236773</c:v>
                </c:pt>
                <c:pt idx="74">
                  <c:v>-0.23971684521711559</c:v>
                </c:pt>
                <c:pt idx="75">
                  <c:v>-7.0159171655574199E-16</c:v>
                </c:pt>
                <c:pt idx="76">
                  <c:v>0.23971684521711414</c:v>
                </c:pt>
                <c:pt idx="77">
                  <c:v>0.47848763756236629</c:v>
                </c:pt>
                <c:pt idx="78">
                  <c:v>0.71537005780236784</c:v>
                </c:pt>
                <c:pt idx="79">
                  <c:v>0.9494292392457151</c:v>
                </c:pt>
                <c:pt idx="80">
                  <c:v>1.1797414572347198</c:v>
                </c:pt>
                <c:pt idx="81">
                  <c:v>1.4053977746646231</c:v>
                </c:pt>
                <c:pt idx="82">
                  <c:v>1.6255076291430941</c:v>
                </c:pt>
                <c:pt idx="83">
                  <c:v>1.8392023476331336</c:v>
                </c:pt>
                <c:pt idx="84">
                  <c:v>2.045638574708692</c:v>
                </c:pt>
                <c:pt idx="85">
                  <c:v>2.2440016008932431</c:v>
                </c:pt>
                <c:pt idx="86">
                  <c:v>2.4335085779458825</c:v>
                </c:pt>
                <c:pt idx="87">
                  <c:v>2.6134116084056864</c:v>
                </c:pt>
                <c:pt idx="88">
                  <c:v>2.7830006972013064</c:v>
                </c:pt>
                <c:pt idx="89">
                  <c:v>2.941606553677151</c:v>
                </c:pt>
                <c:pt idx="90">
                  <c:v>3.088603232977833</c:v>
                </c:pt>
                <c:pt idx="91">
                  <c:v>3.2234106063665484</c:v>
                </c:pt>
                <c:pt idx="92">
                  <c:v>3.3454966507281614</c:v>
                </c:pt>
                <c:pt idx="93">
                  <c:v>3.4543795482213855</c:v>
                </c:pt>
                <c:pt idx="94">
                  <c:v>3.549629587793679</c:v>
                </c:pt>
                <c:pt idx="95">
                  <c:v>3.6308708610544538</c:v>
                </c:pt>
                <c:pt idx="96">
                  <c:v>3.6977827458137571</c:v>
                </c:pt>
                <c:pt idx="97">
                  <c:v>3.750101171431576</c:v>
                </c:pt>
                <c:pt idx="98">
                  <c:v>3.7876196609840118</c:v>
                </c:pt>
                <c:pt idx="99">
                  <c:v>3.8101901461333694</c:v>
                </c:pt>
                <c:pt idx="100">
                  <c:v>3.8177235514862375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ED-4FA3-86E4-9B82A63DB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98464"/>
        <c:axId val="296996168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eta vs. t</c:v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Sheet1!$G$12:$G$112</c15:sqref>
                        </c15:formulaRef>
                      </c:ext>
                    </c:extLst>
                    <c:numCache>
                      <c:formatCode>0.0000</c:formatCode>
                      <c:ptCount val="101"/>
                      <c:pt idx="0" formatCode="General">
                        <c:v>0</c:v>
                      </c:pt>
                      <c:pt idx="1">
                        <c:v>7.1061563966002814E-2</c:v>
                      </c:pt>
                      <c:pt idx="2">
                        <c:v>0.14212312793200563</c:v>
                      </c:pt>
                      <c:pt idx="3">
                        <c:v>0.21318469189800843</c:v>
                      </c:pt>
                      <c:pt idx="4">
                        <c:v>0.28424625586401125</c:v>
                      </c:pt>
                      <c:pt idx="5">
                        <c:v>0.35530781983001408</c:v>
                      </c:pt>
                      <c:pt idx="6">
                        <c:v>0.42636938379601691</c:v>
                      </c:pt>
                      <c:pt idx="7">
                        <c:v>0.49743094776201974</c:v>
                      </c:pt>
                      <c:pt idx="8">
                        <c:v>0.56849251172802251</c:v>
                      </c:pt>
                      <c:pt idx="9">
                        <c:v>0.63955407569402534</c:v>
                      </c:pt>
                      <c:pt idx="10">
                        <c:v>0.71061563966002816</c:v>
                      </c:pt>
                      <c:pt idx="11">
                        <c:v>0.78167720362603099</c:v>
                      </c:pt>
                      <c:pt idx="12">
                        <c:v>0.85273876759203382</c:v>
                      </c:pt>
                      <c:pt idx="13">
                        <c:v>0.92380033155803665</c:v>
                      </c:pt>
                      <c:pt idx="14">
                        <c:v>0.99486189552403947</c:v>
                      </c:pt>
                      <c:pt idx="15">
                        <c:v>1.0659234594900422</c:v>
                      </c:pt>
                      <c:pt idx="16">
                        <c:v>1.136985023456045</c:v>
                      </c:pt>
                      <c:pt idx="17">
                        <c:v>1.2080465874220478</c:v>
                      </c:pt>
                      <c:pt idx="18">
                        <c:v>1.2791081513880507</c:v>
                      </c:pt>
                      <c:pt idx="19">
                        <c:v>1.3501697153540535</c:v>
                      </c:pt>
                      <c:pt idx="20">
                        <c:v>1.4212312793200563</c:v>
                      </c:pt>
                      <c:pt idx="21">
                        <c:v>1.4922928432860592</c:v>
                      </c:pt>
                      <c:pt idx="22">
                        <c:v>1.563354407252062</c:v>
                      </c:pt>
                      <c:pt idx="23">
                        <c:v>1.6344159712180648</c:v>
                      </c:pt>
                      <c:pt idx="24">
                        <c:v>1.7054775351840676</c:v>
                      </c:pt>
                      <c:pt idx="25">
                        <c:v>1.7765390991500705</c:v>
                      </c:pt>
                      <c:pt idx="26">
                        <c:v>1.8476006631160733</c:v>
                      </c:pt>
                      <c:pt idx="27">
                        <c:v>1.9186622270820761</c:v>
                      </c:pt>
                      <c:pt idx="28">
                        <c:v>1.9897237910480789</c:v>
                      </c:pt>
                      <c:pt idx="29">
                        <c:v>2.0607853550140818</c:v>
                      </c:pt>
                      <c:pt idx="30">
                        <c:v>2.1318469189800844</c:v>
                      </c:pt>
                      <c:pt idx="31">
                        <c:v>2.202908482946087</c:v>
                      </c:pt>
                      <c:pt idx="32">
                        <c:v>2.2739700469120896</c:v>
                      </c:pt>
                      <c:pt idx="33">
                        <c:v>2.3450316108780922</c:v>
                      </c:pt>
                      <c:pt idx="34">
                        <c:v>2.4160931748440948</c:v>
                      </c:pt>
                      <c:pt idx="35">
                        <c:v>2.4871547388100974</c:v>
                      </c:pt>
                      <c:pt idx="36">
                        <c:v>2.5582163027761</c:v>
                      </c:pt>
                      <c:pt idx="37">
                        <c:v>2.6292778667421026</c:v>
                      </c:pt>
                      <c:pt idx="38">
                        <c:v>2.7003394307081052</c:v>
                      </c:pt>
                      <c:pt idx="39">
                        <c:v>2.7714009946741078</c:v>
                      </c:pt>
                      <c:pt idx="40">
                        <c:v>2.8424625586401104</c:v>
                      </c:pt>
                      <c:pt idx="41">
                        <c:v>2.913524122606113</c:v>
                      </c:pt>
                      <c:pt idx="42">
                        <c:v>2.9845856865721156</c:v>
                      </c:pt>
                      <c:pt idx="43">
                        <c:v>3.0556472505381183</c:v>
                      </c:pt>
                      <c:pt idx="44">
                        <c:v>3.1267088145041209</c:v>
                      </c:pt>
                      <c:pt idx="45">
                        <c:v>3.1977703784701235</c:v>
                      </c:pt>
                      <c:pt idx="46">
                        <c:v>3.2688319424361261</c:v>
                      </c:pt>
                      <c:pt idx="47">
                        <c:v>3.3398935064021287</c:v>
                      </c:pt>
                      <c:pt idx="48">
                        <c:v>3.4109550703681313</c:v>
                      </c:pt>
                      <c:pt idx="49">
                        <c:v>3.4820166343341339</c:v>
                      </c:pt>
                      <c:pt idx="50">
                        <c:v>3.5530781983001365</c:v>
                      </c:pt>
                      <c:pt idx="51">
                        <c:v>3.6241397622661391</c:v>
                      </c:pt>
                      <c:pt idx="52">
                        <c:v>3.6952013262321417</c:v>
                      </c:pt>
                      <c:pt idx="53">
                        <c:v>3.7662628901981443</c:v>
                      </c:pt>
                      <c:pt idx="54">
                        <c:v>3.8373244541641469</c:v>
                      </c:pt>
                      <c:pt idx="55">
                        <c:v>3.9083860181301495</c:v>
                      </c:pt>
                      <c:pt idx="56">
                        <c:v>3.9794475820961521</c:v>
                      </c:pt>
                      <c:pt idx="57">
                        <c:v>4.0505091460621552</c:v>
                      </c:pt>
                      <c:pt idx="58">
                        <c:v>4.1215707100281582</c:v>
                      </c:pt>
                      <c:pt idx="59">
                        <c:v>4.1926322739941613</c:v>
                      </c:pt>
                      <c:pt idx="60">
                        <c:v>4.2636938379601643</c:v>
                      </c:pt>
                      <c:pt idx="61">
                        <c:v>4.3347554019261674</c:v>
                      </c:pt>
                      <c:pt idx="62">
                        <c:v>4.4058169658921704</c:v>
                      </c:pt>
                      <c:pt idx="63">
                        <c:v>4.4768785298581735</c:v>
                      </c:pt>
                      <c:pt idx="64">
                        <c:v>4.5479400938241765</c:v>
                      </c:pt>
                      <c:pt idx="65">
                        <c:v>4.6190016577901796</c:v>
                      </c:pt>
                      <c:pt idx="66">
                        <c:v>4.6900632217561826</c:v>
                      </c:pt>
                      <c:pt idx="67">
                        <c:v>4.7611247857221857</c:v>
                      </c:pt>
                      <c:pt idx="68">
                        <c:v>4.8321863496881887</c:v>
                      </c:pt>
                      <c:pt idx="69">
                        <c:v>4.9032479136541918</c:v>
                      </c:pt>
                      <c:pt idx="70">
                        <c:v>4.9743094776201948</c:v>
                      </c:pt>
                      <c:pt idx="71">
                        <c:v>5.0453710415861979</c:v>
                      </c:pt>
                      <c:pt idx="72">
                        <c:v>5.1164326055522009</c:v>
                      </c:pt>
                      <c:pt idx="73">
                        <c:v>5.187494169518204</c:v>
                      </c:pt>
                      <c:pt idx="74">
                        <c:v>5.258555733484207</c:v>
                      </c:pt>
                      <c:pt idx="75">
                        <c:v>5.3296172974502101</c:v>
                      </c:pt>
                      <c:pt idx="76">
                        <c:v>5.4006788614162131</c:v>
                      </c:pt>
                      <c:pt idx="77">
                        <c:v>5.4717404253822162</c:v>
                      </c:pt>
                      <c:pt idx="78">
                        <c:v>5.5428019893482192</c:v>
                      </c:pt>
                      <c:pt idx="79">
                        <c:v>5.6138635533142223</c:v>
                      </c:pt>
                      <c:pt idx="80">
                        <c:v>5.6849251172802253</c:v>
                      </c:pt>
                      <c:pt idx="81">
                        <c:v>5.7559866812462284</c:v>
                      </c:pt>
                      <c:pt idx="82">
                        <c:v>5.8270482452122314</c:v>
                      </c:pt>
                      <c:pt idx="83">
                        <c:v>5.8981098091782345</c:v>
                      </c:pt>
                      <c:pt idx="84">
                        <c:v>5.9691713731442375</c:v>
                      </c:pt>
                      <c:pt idx="85">
                        <c:v>6.0402329371102406</c:v>
                      </c:pt>
                      <c:pt idx="86">
                        <c:v>6.1112945010762436</c:v>
                      </c:pt>
                      <c:pt idx="87">
                        <c:v>6.1823560650422467</c:v>
                      </c:pt>
                      <c:pt idx="88">
                        <c:v>6.2534176290082497</c:v>
                      </c:pt>
                      <c:pt idx="89">
                        <c:v>6.3244791929742528</c:v>
                      </c:pt>
                      <c:pt idx="90">
                        <c:v>6.3955407569402558</c:v>
                      </c:pt>
                      <c:pt idx="91">
                        <c:v>6.4666023209062589</c:v>
                      </c:pt>
                      <c:pt idx="92">
                        <c:v>6.5376638848722619</c:v>
                      </c:pt>
                      <c:pt idx="93">
                        <c:v>6.608725448838265</c:v>
                      </c:pt>
                      <c:pt idx="94">
                        <c:v>6.679787012804268</c:v>
                      </c:pt>
                      <c:pt idx="95">
                        <c:v>6.7508485767702711</c:v>
                      </c:pt>
                      <c:pt idx="96">
                        <c:v>6.8219101407362741</c:v>
                      </c:pt>
                      <c:pt idx="97">
                        <c:v>6.8929717047022772</c:v>
                      </c:pt>
                      <c:pt idx="98">
                        <c:v>6.9640332686682802</c:v>
                      </c:pt>
                      <c:pt idx="99">
                        <c:v>7.0350948326342833</c:v>
                      </c:pt>
                      <c:pt idx="100">
                        <c:v>7.1061563966002863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Sheet1!$Y$12:$Y$112</c15:sqref>
                        </c15:formulaRef>
                      </c:ext>
                    </c:extLst>
                    <c:numCache>
                      <c:formatCode>0.00000</c:formatCode>
                      <c:ptCount val="101"/>
                      <c:pt idx="0">
                        <c:v>7.4819067779195088</c:v>
                      </c:pt>
                      <c:pt idx="1">
                        <c:v>7.4298297723534867</c:v>
                      </c:pt>
                      <c:pt idx="2">
                        <c:v>7.2755735518206235</c:v>
                      </c:pt>
                      <c:pt idx="3">
                        <c:v>7.024940123176151</c:v>
                      </c:pt>
                      <c:pt idx="4">
                        <c:v>6.6872009306624802</c:v>
                      </c:pt>
                      <c:pt idx="5">
                        <c:v>6.2745310090578945</c:v>
                      </c:pt>
                      <c:pt idx="6">
                        <c:v>5.8012780093296259</c:v>
                      </c:pt>
                      <c:pt idx="7">
                        <c:v>5.2831210387523004</c:v>
                      </c:pt>
                      <c:pt idx="8">
                        <c:v>4.7361816335280622</c:v>
                      </c:pt>
                      <c:pt idx="9">
                        <c:v>4.1761513631905709</c:v>
                      </c:pt>
                      <c:pt idx="10">
                        <c:v>3.6174974392368631</c:v>
                      </c:pt>
                      <c:pt idx="11">
                        <c:v>3.0727996203503447</c:v>
                      </c:pt>
                      <c:pt idx="12">
                        <c:v>2.5522594595882393</c:v>
                      </c:pt>
                      <c:pt idx="13">
                        <c:v>2.0634076669366732</c:v>
                      </c:pt>
                      <c:pt idx="14">
                        <c:v>1.6110184533592125</c:v>
                      </c:pt>
                      <c:pt idx="15">
                        <c:v>1.1972226877954719</c:v>
                      </c:pt>
                      <c:pt idx="16">
                        <c:v>0.82179602378111338</c:v>
                      </c:pt>
                      <c:pt idx="17">
                        <c:v>0.48258516890322667</c:v>
                      </c:pt>
                      <c:pt idx="18">
                        <c:v>0.17602623489913158</c:v>
                      </c:pt>
                      <c:pt idx="19">
                        <c:v>-0.10229569076392706</c:v>
                      </c:pt>
                      <c:pt idx="20">
                        <c:v>-0.35709670154803153</c:v>
                      </c:pt>
                      <c:pt idx="21">
                        <c:v>-0.5929004607168733</c:v>
                      </c:pt>
                      <c:pt idx="22">
                        <c:v>-0.81363892689872375</c:v>
                      </c:pt>
                      <c:pt idx="23">
                        <c:v>-1.0223740985889767</c:v>
                      </c:pt>
                      <c:pt idx="24">
                        <c:v>-1.2211541986805545</c:v>
                      </c:pt>
                      <c:pt idx="25">
                        <c:v>-1.4110039387848636</c:v>
                      </c:pt>
                      <c:pt idx="26">
                        <c:v>-1.5920355269829498</c:v>
                      </c:pt>
                      <c:pt idx="27">
                        <c:v>-1.7636561172340575</c:v>
                      </c:pt>
                      <c:pt idx="28">
                        <c:v>-1.9248394171762873</c:v>
                      </c:pt>
                      <c:pt idx="29">
                        <c:v>-2.0744248265856551</c:v>
                      </c:pt>
                      <c:pt idx="30">
                        <c:v>-2.2114070492331774</c:v>
                      </c:pt>
                      <c:pt idx="31">
                        <c:v>-2.3351824914854338</c:v>
                      </c:pt>
                      <c:pt idx="32">
                        <c:v>-2.4457254452996922</c:v>
                      </c:pt>
                      <c:pt idx="33">
                        <c:v>-2.5436762502840589</c:v>
                      </c:pt>
                      <c:pt idx="34">
                        <c:v>-2.6303343105631045</c:v>
                      </c:pt>
                      <c:pt idx="35">
                        <c:v>-2.7075598586508414</c:v>
                      </c:pt>
                      <c:pt idx="36">
                        <c:v>-2.7775985592815089</c:v>
                      </c:pt>
                      <c:pt idx="37">
                        <c:v>-2.8428513932827735</c:v>
                      </c:pt>
                      <c:pt idx="38">
                        <c:v>-2.9056179326974538</c:v>
                      </c:pt>
                      <c:pt idx="39">
                        <c:v>-2.9678435855365235</c:v>
                      </c:pt>
                      <c:pt idx="40">
                        <c:v>-3.0309004663751669</c:v>
                      </c:pt>
                      <c:pt idx="41">
                        <c:v>-3.0954274073687031</c:v>
                      </c:pt>
                      <c:pt idx="42">
                        <c:v>-3.1612477649457098</c:v>
                      </c:pt>
                      <c:pt idx="43">
                        <c:v>-3.2273748773472888</c:v>
                      </c:pt>
                      <c:pt idx="44">
                        <c:v>-3.2921052553402199</c:v>
                      </c:pt>
                      <c:pt idx="45">
                        <c:v>-3.3531898994176652</c:v>
                      </c:pt>
                      <c:pt idx="46">
                        <c:v>-3.4080655662841015</c:v>
                      </c:pt>
                      <c:pt idx="47">
                        <c:v>-3.4541212610312035</c:v>
                      </c:pt>
                      <c:pt idx="48">
                        <c:v>-3.4889713928181973</c:v>
                      </c:pt>
                      <c:pt idx="49">
                        <c:v>-3.5107062934372917</c:v>
                      </c:pt>
                      <c:pt idx="50">
                        <c:v>-3.5180932220804917</c:v>
                      </c:pt>
                      <c:pt idx="51">
                        <c:v>-3.5107062934372912</c:v>
                      </c:pt>
                      <c:pt idx="52">
                        <c:v>-3.4889713928181951</c:v>
                      </c:pt>
                      <c:pt idx="53">
                        <c:v>-3.4541212610311995</c:v>
                      </c:pt>
                      <c:pt idx="54">
                        <c:v>-3.4080655662840966</c:v>
                      </c:pt>
                      <c:pt idx="55">
                        <c:v>-3.3531898994176603</c:v>
                      </c:pt>
                      <c:pt idx="56">
                        <c:v>-3.2921052553402159</c:v>
                      </c:pt>
                      <c:pt idx="57">
                        <c:v>-3.227374877347283</c:v>
                      </c:pt>
                      <c:pt idx="58">
                        <c:v>-3.1612477649457058</c:v>
                      </c:pt>
                      <c:pt idx="59">
                        <c:v>-3.0954274073686987</c:v>
                      </c:pt>
                      <c:pt idx="60">
                        <c:v>-3.0309004663751606</c:v>
                      </c:pt>
                      <c:pt idx="61">
                        <c:v>-2.9678435855365186</c:v>
                      </c:pt>
                      <c:pt idx="62">
                        <c:v>-2.9056179326974481</c:v>
                      </c:pt>
                      <c:pt idx="63">
                        <c:v>-2.8428513932827681</c:v>
                      </c:pt>
                      <c:pt idx="64">
                        <c:v>-2.7775985592815036</c:v>
                      </c:pt>
                      <c:pt idx="65">
                        <c:v>-2.7075598586508351</c:v>
                      </c:pt>
                      <c:pt idx="66">
                        <c:v>-2.6303343105630996</c:v>
                      </c:pt>
                      <c:pt idx="67">
                        <c:v>-2.5436762502840535</c:v>
                      </c:pt>
                      <c:pt idx="68">
                        <c:v>-2.4457254452996868</c:v>
                      </c:pt>
                      <c:pt idx="69">
                        <c:v>-2.3351824914854276</c:v>
                      </c:pt>
                      <c:pt idx="70">
                        <c:v>-2.2114070492331721</c:v>
                      </c:pt>
                      <c:pt idx="71">
                        <c:v>-2.0744248265856502</c:v>
                      </c:pt>
                      <c:pt idx="72">
                        <c:v>-1.924839417176283</c:v>
                      </c:pt>
                      <c:pt idx="73">
                        <c:v>-1.7636561172340539</c:v>
                      </c:pt>
                      <c:pt idx="74">
                        <c:v>-1.5920355269829476</c:v>
                      </c:pt>
                      <c:pt idx="75">
                        <c:v>-1.4110039387848627</c:v>
                      </c:pt>
                      <c:pt idx="76">
                        <c:v>-1.2211541986805545</c:v>
                      </c:pt>
                      <c:pt idx="77">
                        <c:v>-1.0223740985889784</c:v>
                      </c:pt>
                      <c:pt idx="78">
                        <c:v>-0.81363892689872686</c:v>
                      </c:pt>
                      <c:pt idx="79">
                        <c:v>-0.59290046071687863</c:v>
                      </c:pt>
                      <c:pt idx="80">
                        <c:v>-0.35709670154803885</c:v>
                      </c:pt>
                      <c:pt idx="81">
                        <c:v>-0.10229569076393613</c:v>
                      </c:pt>
                      <c:pt idx="82">
                        <c:v>0.17602623489911892</c:v>
                      </c:pt>
                      <c:pt idx="83">
                        <c:v>0.48258516890321035</c:v>
                      </c:pt>
                      <c:pt idx="84">
                        <c:v>0.82179602378109295</c:v>
                      </c:pt>
                      <c:pt idx="85">
                        <c:v>1.1972226877954477</c:v>
                      </c:pt>
                      <c:pt idx="86">
                        <c:v>1.6110184533591825</c:v>
                      </c:pt>
                      <c:pt idx="87">
                        <c:v>2.0634076669366395</c:v>
                      </c:pt>
                      <c:pt idx="88">
                        <c:v>2.5522594595881971</c:v>
                      </c:pt>
                      <c:pt idx="89">
                        <c:v>3.0727996203502994</c:v>
                      </c:pt>
                      <c:pt idx="90">
                        <c:v>3.6174974392368116</c:v>
                      </c:pt>
                      <c:pt idx="91">
                        <c:v>4.1761513631905185</c:v>
                      </c:pt>
                      <c:pt idx="92">
                        <c:v>4.7361816335280063</c:v>
                      </c:pt>
                      <c:pt idx="93">
                        <c:v>5.2831210387522463</c:v>
                      </c:pt>
                      <c:pt idx="94">
                        <c:v>5.8012780093295691</c:v>
                      </c:pt>
                      <c:pt idx="95">
                        <c:v>6.274531009057843</c:v>
                      </c:pt>
                      <c:pt idx="96">
                        <c:v>6.6872009306624332</c:v>
                      </c:pt>
                      <c:pt idx="97">
                        <c:v>7.0249401231761128</c:v>
                      </c:pt>
                      <c:pt idx="98">
                        <c:v>7.2755735518205951</c:v>
                      </c:pt>
                      <c:pt idx="99">
                        <c:v>7.4298297723534708</c:v>
                      </c:pt>
                      <c:pt idx="100">
                        <c:v>7.4819067779195088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FBED-4FA3-86E4-9B82A63DB67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eta_lin vs. t</c:v>
                </c:tx>
                <c:spPr>
                  <a:ln w="22225" cap="rnd">
                    <a:solidFill>
                      <a:srgbClr val="00B050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Sheet1!$G$12:$G$112</c15:sqref>
                        </c15:formulaRef>
                      </c:ext>
                    </c:extLst>
                    <c:numCache>
                      <c:formatCode>0.0000</c:formatCode>
                      <c:ptCount val="101"/>
                      <c:pt idx="0" formatCode="General">
                        <c:v>0</c:v>
                      </c:pt>
                      <c:pt idx="1">
                        <c:v>7.1061563966002814E-2</c:v>
                      </c:pt>
                      <c:pt idx="2">
                        <c:v>0.14212312793200563</c:v>
                      </c:pt>
                      <c:pt idx="3">
                        <c:v>0.21318469189800843</c:v>
                      </c:pt>
                      <c:pt idx="4">
                        <c:v>0.28424625586401125</c:v>
                      </c:pt>
                      <c:pt idx="5">
                        <c:v>0.35530781983001408</c:v>
                      </c:pt>
                      <c:pt idx="6">
                        <c:v>0.42636938379601691</c:v>
                      </c:pt>
                      <c:pt idx="7">
                        <c:v>0.49743094776201974</c:v>
                      </c:pt>
                      <c:pt idx="8">
                        <c:v>0.56849251172802251</c:v>
                      </c:pt>
                      <c:pt idx="9">
                        <c:v>0.63955407569402534</c:v>
                      </c:pt>
                      <c:pt idx="10">
                        <c:v>0.71061563966002816</c:v>
                      </c:pt>
                      <c:pt idx="11">
                        <c:v>0.78167720362603099</c:v>
                      </c:pt>
                      <c:pt idx="12">
                        <c:v>0.85273876759203382</c:v>
                      </c:pt>
                      <c:pt idx="13">
                        <c:v>0.92380033155803665</c:v>
                      </c:pt>
                      <c:pt idx="14">
                        <c:v>0.99486189552403947</c:v>
                      </c:pt>
                      <c:pt idx="15">
                        <c:v>1.0659234594900422</c:v>
                      </c:pt>
                      <c:pt idx="16">
                        <c:v>1.136985023456045</c:v>
                      </c:pt>
                      <c:pt idx="17">
                        <c:v>1.2080465874220478</c:v>
                      </c:pt>
                      <c:pt idx="18">
                        <c:v>1.2791081513880507</c:v>
                      </c:pt>
                      <c:pt idx="19">
                        <c:v>1.3501697153540535</c:v>
                      </c:pt>
                      <c:pt idx="20">
                        <c:v>1.4212312793200563</c:v>
                      </c:pt>
                      <c:pt idx="21">
                        <c:v>1.4922928432860592</c:v>
                      </c:pt>
                      <c:pt idx="22">
                        <c:v>1.563354407252062</c:v>
                      </c:pt>
                      <c:pt idx="23">
                        <c:v>1.6344159712180648</c:v>
                      </c:pt>
                      <c:pt idx="24">
                        <c:v>1.7054775351840676</c:v>
                      </c:pt>
                      <c:pt idx="25">
                        <c:v>1.7765390991500705</c:v>
                      </c:pt>
                      <c:pt idx="26">
                        <c:v>1.8476006631160733</c:v>
                      </c:pt>
                      <c:pt idx="27">
                        <c:v>1.9186622270820761</c:v>
                      </c:pt>
                      <c:pt idx="28">
                        <c:v>1.9897237910480789</c:v>
                      </c:pt>
                      <c:pt idx="29">
                        <c:v>2.0607853550140818</c:v>
                      </c:pt>
                      <c:pt idx="30">
                        <c:v>2.1318469189800844</c:v>
                      </c:pt>
                      <c:pt idx="31">
                        <c:v>2.202908482946087</c:v>
                      </c:pt>
                      <c:pt idx="32">
                        <c:v>2.2739700469120896</c:v>
                      </c:pt>
                      <c:pt idx="33">
                        <c:v>2.3450316108780922</c:v>
                      </c:pt>
                      <c:pt idx="34">
                        <c:v>2.4160931748440948</c:v>
                      </c:pt>
                      <c:pt idx="35">
                        <c:v>2.4871547388100974</c:v>
                      </c:pt>
                      <c:pt idx="36">
                        <c:v>2.5582163027761</c:v>
                      </c:pt>
                      <c:pt idx="37">
                        <c:v>2.6292778667421026</c:v>
                      </c:pt>
                      <c:pt idx="38">
                        <c:v>2.7003394307081052</c:v>
                      </c:pt>
                      <c:pt idx="39">
                        <c:v>2.7714009946741078</c:v>
                      </c:pt>
                      <c:pt idx="40">
                        <c:v>2.8424625586401104</c:v>
                      </c:pt>
                      <c:pt idx="41">
                        <c:v>2.913524122606113</c:v>
                      </c:pt>
                      <c:pt idx="42">
                        <c:v>2.9845856865721156</c:v>
                      </c:pt>
                      <c:pt idx="43">
                        <c:v>3.0556472505381183</c:v>
                      </c:pt>
                      <c:pt idx="44">
                        <c:v>3.1267088145041209</c:v>
                      </c:pt>
                      <c:pt idx="45">
                        <c:v>3.1977703784701235</c:v>
                      </c:pt>
                      <c:pt idx="46">
                        <c:v>3.2688319424361261</c:v>
                      </c:pt>
                      <c:pt idx="47">
                        <c:v>3.3398935064021287</c:v>
                      </c:pt>
                      <c:pt idx="48">
                        <c:v>3.4109550703681313</c:v>
                      </c:pt>
                      <c:pt idx="49">
                        <c:v>3.4820166343341339</c:v>
                      </c:pt>
                      <c:pt idx="50">
                        <c:v>3.5530781983001365</c:v>
                      </c:pt>
                      <c:pt idx="51">
                        <c:v>3.6241397622661391</c:v>
                      </c:pt>
                      <c:pt idx="52">
                        <c:v>3.6952013262321417</c:v>
                      </c:pt>
                      <c:pt idx="53">
                        <c:v>3.7662628901981443</c:v>
                      </c:pt>
                      <c:pt idx="54">
                        <c:v>3.8373244541641469</c:v>
                      </c:pt>
                      <c:pt idx="55">
                        <c:v>3.9083860181301495</c:v>
                      </c:pt>
                      <c:pt idx="56">
                        <c:v>3.9794475820961521</c:v>
                      </c:pt>
                      <c:pt idx="57">
                        <c:v>4.0505091460621552</c:v>
                      </c:pt>
                      <c:pt idx="58">
                        <c:v>4.1215707100281582</c:v>
                      </c:pt>
                      <c:pt idx="59">
                        <c:v>4.1926322739941613</c:v>
                      </c:pt>
                      <c:pt idx="60">
                        <c:v>4.2636938379601643</c:v>
                      </c:pt>
                      <c:pt idx="61">
                        <c:v>4.3347554019261674</c:v>
                      </c:pt>
                      <c:pt idx="62">
                        <c:v>4.4058169658921704</c:v>
                      </c:pt>
                      <c:pt idx="63">
                        <c:v>4.4768785298581735</c:v>
                      </c:pt>
                      <c:pt idx="64">
                        <c:v>4.5479400938241765</c:v>
                      </c:pt>
                      <c:pt idx="65">
                        <c:v>4.6190016577901796</c:v>
                      </c:pt>
                      <c:pt idx="66">
                        <c:v>4.6900632217561826</c:v>
                      </c:pt>
                      <c:pt idx="67">
                        <c:v>4.7611247857221857</c:v>
                      </c:pt>
                      <c:pt idx="68">
                        <c:v>4.8321863496881887</c:v>
                      </c:pt>
                      <c:pt idx="69">
                        <c:v>4.9032479136541918</c:v>
                      </c:pt>
                      <c:pt idx="70">
                        <c:v>4.9743094776201948</c:v>
                      </c:pt>
                      <c:pt idx="71">
                        <c:v>5.0453710415861979</c:v>
                      </c:pt>
                      <c:pt idx="72">
                        <c:v>5.1164326055522009</c:v>
                      </c:pt>
                      <c:pt idx="73">
                        <c:v>5.187494169518204</c:v>
                      </c:pt>
                      <c:pt idx="74">
                        <c:v>5.258555733484207</c:v>
                      </c:pt>
                      <c:pt idx="75">
                        <c:v>5.3296172974502101</c:v>
                      </c:pt>
                      <c:pt idx="76">
                        <c:v>5.4006788614162131</c:v>
                      </c:pt>
                      <c:pt idx="77">
                        <c:v>5.4717404253822162</c:v>
                      </c:pt>
                      <c:pt idx="78">
                        <c:v>5.5428019893482192</c:v>
                      </c:pt>
                      <c:pt idx="79">
                        <c:v>5.6138635533142223</c:v>
                      </c:pt>
                      <c:pt idx="80">
                        <c:v>5.6849251172802253</c:v>
                      </c:pt>
                      <c:pt idx="81">
                        <c:v>5.7559866812462284</c:v>
                      </c:pt>
                      <c:pt idx="82">
                        <c:v>5.8270482452122314</c:v>
                      </c:pt>
                      <c:pt idx="83">
                        <c:v>5.8981098091782345</c:v>
                      </c:pt>
                      <c:pt idx="84">
                        <c:v>5.9691713731442375</c:v>
                      </c:pt>
                      <c:pt idx="85">
                        <c:v>6.0402329371102406</c:v>
                      </c:pt>
                      <c:pt idx="86">
                        <c:v>6.1112945010762436</c:v>
                      </c:pt>
                      <c:pt idx="87">
                        <c:v>6.1823560650422467</c:v>
                      </c:pt>
                      <c:pt idx="88">
                        <c:v>6.2534176290082497</c:v>
                      </c:pt>
                      <c:pt idx="89">
                        <c:v>6.3244791929742528</c:v>
                      </c:pt>
                      <c:pt idx="90">
                        <c:v>6.3955407569402558</c:v>
                      </c:pt>
                      <c:pt idx="91">
                        <c:v>6.4666023209062589</c:v>
                      </c:pt>
                      <c:pt idx="92">
                        <c:v>6.5376638848722619</c:v>
                      </c:pt>
                      <c:pt idx="93">
                        <c:v>6.608725448838265</c:v>
                      </c:pt>
                      <c:pt idx="94">
                        <c:v>6.679787012804268</c:v>
                      </c:pt>
                      <c:pt idx="95">
                        <c:v>6.7508485767702711</c:v>
                      </c:pt>
                      <c:pt idx="96">
                        <c:v>6.8219101407362741</c:v>
                      </c:pt>
                      <c:pt idx="97">
                        <c:v>6.8929717047022772</c:v>
                      </c:pt>
                      <c:pt idx="98">
                        <c:v>6.9640332686682802</c:v>
                      </c:pt>
                      <c:pt idx="99">
                        <c:v>7.0350948326342833</c:v>
                      </c:pt>
                      <c:pt idx="100">
                        <c:v>7.1061563966002863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Sheet1!$S$12:$S$112</c15:sqref>
                        </c15:formulaRef>
                      </c:ext>
                    </c:extLst>
                    <c:numCache>
                      <c:formatCode>0.00000</c:formatCode>
                      <c:ptCount val="101"/>
                      <c:pt idx="0">
                        <c:v>5.5</c:v>
                      </c:pt>
                      <c:pt idx="1">
                        <c:v>5.4891470063554939</c:v>
                      </c:pt>
                      <c:pt idx="2">
                        <c:v>5.4566308572296283</c:v>
                      </c:pt>
                      <c:pt idx="3">
                        <c:v>5.4025798790077877</c:v>
                      </c:pt>
                      <c:pt idx="4">
                        <c:v>5.3272073862074709</c:v>
                      </c:pt>
                      <c:pt idx="5">
                        <c:v>5.2308108396233441</c:v>
                      </c:pt>
                      <c:pt idx="6">
                        <c:v>5.1137706723853826</c:v>
                      </c:pt>
                      <c:pt idx="7">
                        <c:v>4.9765487885631075</c:v>
                      </c:pt>
                      <c:pt idx="8">
                        <c:v>4.8196867402412495</c:v>
                      </c:pt>
                      <c:pt idx="9">
                        <c:v>4.6438035902610837</c:v>
                      </c:pt>
                      <c:pt idx="10">
                        <c:v>4.4495934690622114</c:v>
                      </c:pt>
                      <c:pt idx="11">
                        <c:v>4.2378228352668419</c:v>
                      </c:pt>
                      <c:pt idx="12">
                        <c:v>4.0093274508177643</c:v>
                      </c:pt>
                      <c:pt idx="13">
                        <c:v>3.7650090826077887</c:v>
                      </c:pt>
                      <c:pt idx="14">
                        <c:v>3.5058319436177943</c:v>
                      </c:pt>
                      <c:pt idx="15">
                        <c:v>3.2328188876086035</c:v>
                      </c:pt>
                      <c:pt idx="16">
                        <c:v>2.9470473723844823</c:v>
                      </c:pt>
                      <c:pt idx="17">
                        <c:v>2.6496452075594341</c:v>
                      </c:pt>
                      <c:pt idx="18">
                        <c:v>2.3417861036078995</c:v>
                      </c:pt>
                      <c:pt idx="19">
                        <c:v>2.0246850397657283</c:v>
                      </c:pt>
                      <c:pt idx="20">
                        <c:v>1.6995934690622101</c:v>
                      </c:pt>
                      <c:pt idx="21">
                        <c:v>1.3677943794067</c:v>
                      </c:pt>
                      <c:pt idx="22">
                        <c:v>1.0305972302214836</c:v>
                      </c:pt>
                      <c:pt idx="23">
                        <c:v>0.68933278460367098</c:v>
                      </c:pt>
                      <c:pt idx="24">
                        <c:v>0.34534785741122076</c:v>
                      </c:pt>
                      <c:pt idx="25">
                        <c:v>-3.3268201561631461E-15</c:v>
                      </c:pt>
                      <c:pt idx="26">
                        <c:v>-0.34534785741122737</c:v>
                      </c:pt>
                      <c:pt idx="27">
                        <c:v>-0.68933278460367753</c:v>
                      </c:pt>
                      <c:pt idx="28">
                        <c:v>-1.0305972302214901</c:v>
                      </c:pt>
                      <c:pt idx="29">
                        <c:v>-1.3677943794067065</c:v>
                      </c:pt>
                      <c:pt idx="30">
                        <c:v>-1.6995934690622161</c:v>
                      </c:pt>
                      <c:pt idx="31">
                        <c:v>-2.0246850397657346</c:v>
                      </c:pt>
                      <c:pt idx="32">
                        <c:v>-2.3417861036079044</c:v>
                      </c:pt>
                      <c:pt idx="33">
                        <c:v>-2.649645207559439</c:v>
                      </c:pt>
                      <c:pt idx="34">
                        <c:v>-2.9470473723844863</c:v>
                      </c:pt>
                      <c:pt idx="35">
                        <c:v>-3.2328188876086079</c:v>
                      </c:pt>
                      <c:pt idx="36">
                        <c:v>-3.5058319436177992</c:v>
                      </c:pt>
                      <c:pt idx="37">
                        <c:v>-3.7650090826077935</c:v>
                      </c:pt>
                      <c:pt idx="38">
                        <c:v>-4.0093274508177688</c:v>
                      </c:pt>
                      <c:pt idx="39">
                        <c:v>-4.2378228352668463</c:v>
                      </c:pt>
                      <c:pt idx="40">
                        <c:v>-4.4495934690622168</c:v>
                      </c:pt>
                      <c:pt idx="41">
                        <c:v>-4.6438035902610881</c:v>
                      </c:pt>
                      <c:pt idx="42">
                        <c:v>-4.8196867402412549</c:v>
                      </c:pt>
                      <c:pt idx="43">
                        <c:v>-4.9765487885631119</c:v>
                      </c:pt>
                      <c:pt idx="44">
                        <c:v>-5.1137706723853871</c:v>
                      </c:pt>
                      <c:pt idx="45">
                        <c:v>-5.2308108396233477</c:v>
                      </c:pt>
                      <c:pt idx="46">
                        <c:v>-5.3272073862074736</c:v>
                      </c:pt>
                      <c:pt idx="47">
                        <c:v>-5.4025798790077895</c:v>
                      </c:pt>
                      <c:pt idx="48">
                        <c:v>-5.4566308572296292</c:v>
                      </c:pt>
                      <c:pt idx="49">
                        <c:v>-5.4891470063554939</c:v>
                      </c:pt>
                      <c:pt idx="50">
                        <c:v>-5.5</c:v>
                      </c:pt>
                      <c:pt idx="51">
                        <c:v>-5.489147006355493</c:v>
                      </c:pt>
                      <c:pt idx="52">
                        <c:v>-5.4566308572296265</c:v>
                      </c:pt>
                      <c:pt idx="53">
                        <c:v>-5.402579879007785</c:v>
                      </c:pt>
                      <c:pt idx="54">
                        <c:v>-5.3272073862074674</c:v>
                      </c:pt>
                      <c:pt idx="55">
                        <c:v>-5.2308108396233397</c:v>
                      </c:pt>
                      <c:pt idx="56">
                        <c:v>-5.1137706723853764</c:v>
                      </c:pt>
                      <c:pt idx="57">
                        <c:v>-4.9765487885630995</c:v>
                      </c:pt>
                      <c:pt idx="58">
                        <c:v>-4.8196867402412416</c:v>
                      </c:pt>
                      <c:pt idx="59">
                        <c:v>-4.643803590261073</c:v>
                      </c:pt>
                      <c:pt idx="60">
                        <c:v>-4.4495934690621999</c:v>
                      </c:pt>
                      <c:pt idx="61">
                        <c:v>-4.2378228352668286</c:v>
                      </c:pt>
                      <c:pt idx="62">
                        <c:v>-4.0093274508177501</c:v>
                      </c:pt>
                      <c:pt idx="63">
                        <c:v>-3.7650090826077727</c:v>
                      </c:pt>
                      <c:pt idx="64">
                        <c:v>-3.5058319436177778</c:v>
                      </c:pt>
                      <c:pt idx="65">
                        <c:v>-3.232818887608587</c:v>
                      </c:pt>
                      <c:pt idx="66">
                        <c:v>-2.9470473723844677</c:v>
                      </c:pt>
                      <c:pt idx="67">
                        <c:v>-2.6496452075594212</c:v>
                      </c:pt>
                      <c:pt idx="68">
                        <c:v>-2.341786103607888</c:v>
                      </c:pt>
                      <c:pt idx="69">
                        <c:v>-2.0246850397657186</c:v>
                      </c:pt>
                      <c:pt idx="70">
                        <c:v>-1.6995934690622025</c:v>
                      </c:pt>
                      <c:pt idx="71">
                        <c:v>-1.3677943794066947</c:v>
                      </c:pt>
                      <c:pt idx="72">
                        <c:v>-1.0305972302214808</c:v>
                      </c:pt>
                      <c:pt idx="73">
                        <c:v>-0.68933278460367053</c:v>
                      </c:pt>
                      <c:pt idx="74">
                        <c:v>-0.34534785741122265</c:v>
                      </c:pt>
                      <c:pt idx="75">
                        <c:v>-1.0107474752996115E-15</c:v>
                      </c:pt>
                      <c:pt idx="76">
                        <c:v>0.34534785741122059</c:v>
                      </c:pt>
                      <c:pt idx="77">
                        <c:v>0.68933278460366842</c:v>
                      </c:pt>
                      <c:pt idx="78">
                        <c:v>1.0305972302214788</c:v>
                      </c:pt>
                      <c:pt idx="79">
                        <c:v>1.3677943794066927</c:v>
                      </c:pt>
                      <c:pt idx="80">
                        <c:v>1.6995934690622005</c:v>
                      </c:pt>
                      <c:pt idx="81">
                        <c:v>2.0246850397657168</c:v>
                      </c:pt>
                      <c:pt idx="82">
                        <c:v>2.3417861036078862</c:v>
                      </c:pt>
                      <c:pt idx="83">
                        <c:v>2.6496452075594195</c:v>
                      </c:pt>
                      <c:pt idx="84">
                        <c:v>2.9470473723844659</c:v>
                      </c:pt>
                      <c:pt idx="85">
                        <c:v>3.2328188876085857</c:v>
                      </c:pt>
                      <c:pt idx="86">
                        <c:v>3.5058319436177761</c:v>
                      </c:pt>
                      <c:pt idx="87">
                        <c:v>3.7650090826077696</c:v>
                      </c:pt>
                      <c:pt idx="88">
                        <c:v>4.0093274508177448</c:v>
                      </c:pt>
                      <c:pt idx="89">
                        <c:v>4.2378228352668224</c:v>
                      </c:pt>
                      <c:pt idx="90">
                        <c:v>4.4495934690621928</c:v>
                      </c:pt>
                      <c:pt idx="91">
                        <c:v>4.6438035902610659</c:v>
                      </c:pt>
                      <c:pt idx="92">
                        <c:v>4.8196867402412336</c:v>
                      </c:pt>
                      <c:pt idx="93">
                        <c:v>4.9765487885630915</c:v>
                      </c:pt>
                      <c:pt idx="94">
                        <c:v>5.1137706723853684</c:v>
                      </c:pt>
                      <c:pt idx="95">
                        <c:v>5.2308108396233326</c:v>
                      </c:pt>
                      <c:pt idx="96">
                        <c:v>5.3272073862074603</c:v>
                      </c:pt>
                      <c:pt idx="97">
                        <c:v>5.4025798790077797</c:v>
                      </c:pt>
                      <c:pt idx="98">
                        <c:v>5.456630857229622</c:v>
                      </c:pt>
                      <c:pt idx="99">
                        <c:v>5.4891470063554904</c:v>
                      </c:pt>
                      <c:pt idx="100">
                        <c:v>5.5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BED-4FA3-86E4-9B82A63DB67E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u_fs vs. t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square"/>
                  <c:size val="4"/>
                  <c:spPr>
                    <a:noFill/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Sheet1!$G$12:$G$112</c15:sqref>
                        </c15:formulaRef>
                      </c:ext>
                    </c:extLst>
                    <c:numCache>
                      <c:formatCode>0.0000</c:formatCode>
                      <c:ptCount val="101"/>
                      <c:pt idx="0" formatCode="General">
                        <c:v>0</c:v>
                      </c:pt>
                      <c:pt idx="1">
                        <c:v>7.1061563966002814E-2</c:v>
                      </c:pt>
                      <c:pt idx="2">
                        <c:v>0.14212312793200563</c:v>
                      </c:pt>
                      <c:pt idx="3">
                        <c:v>0.21318469189800843</c:v>
                      </c:pt>
                      <c:pt idx="4">
                        <c:v>0.28424625586401125</c:v>
                      </c:pt>
                      <c:pt idx="5">
                        <c:v>0.35530781983001408</c:v>
                      </c:pt>
                      <c:pt idx="6">
                        <c:v>0.42636938379601691</c:v>
                      </c:pt>
                      <c:pt idx="7">
                        <c:v>0.49743094776201974</c:v>
                      </c:pt>
                      <c:pt idx="8">
                        <c:v>0.56849251172802251</c:v>
                      </c:pt>
                      <c:pt idx="9">
                        <c:v>0.63955407569402534</c:v>
                      </c:pt>
                      <c:pt idx="10">
                        <c:v>0.71061563966002816</c:v>
                      </c:pt>
                      <c:pt idx="11">
                        <c:v>0.78167720362603099</c:v>
                      </c:pt>
                      <c:pt idx="12">
                        <c:v>0.85273876759203382</c:v>
                      </c:pt>
                      <c:pt idx="13">
                        <c:v>0.92380033155803665</c:v>
                      </c:pt>
                      <c:pt idx="14">
                        <c:v>0.99486189552403947</c:v>
                      </c:pt>
                      <c:pt idx="15">
                        <c:v>1.0659234594900422</c:v>
                      </c:pt>
                      <c:pt idx="16">
                        <c:v>1.136985023456045</c:v>
                      </c:pt>
                      <c:pt idx="17">
                        <c:v>1.2080465874220478</c:v>
                      </c:pt>
                      <c:pt idx="18">
                        <c:v>1.2791081513880507</c:v>
                      </c:pt>
                      <c:pt idx="19">
                        <c:v>1.3501697153540535</c:v>
                      </c:pt>
                      <c:pt idx="20">
                        <c:v>1.4212312793200563</c:v>
                      </c:pt>
                      <c:pt idx="21">
                        <c:v>1.4922928432860592</c:v>
                      </c:pt>
                      <c:pt idx="22">
                        <c:v>1.563354407252062</c:v>
                      </c:pt>
                      <c:pt idx="23">
                        <c:v>1.6344159712180648</c:v>
                      </c:pt>
                      <c:pt idx="24">
                        <c:v>1.7054775351840676</c:v>
                      </c:pt>
                      <c:pt idx="25">
                        <c:v>1.7765390991500705</c:v>
                      </c:pt>
                      <c:pt idx="26">
                        <c:v>1.8476006631160733</c:v>
                      </c:pt>
                      <c:pt idx="27">
                        <c:v>1.9186622270820761</c:v>
                      </c:pt>
                      <c:pt idx="28">
                        <c:v>1.9897237910480789</c:v>
                      </c:pt>
                      <c:pt idx="29">
                        <c:v>2.0607853550140818</c:v>
                      </c:pt>
                      <c:pt idx="30">
                        <c:v>2.1318469189800844</c:v>
                      </c:pt>
                      <c:pt idx="31">
                        <c:v>2.202908482946087</c:v>
                      </c:pt>
                      <c:pt idx="32">
                        <c:v>2.2739700469120896</c:v>
                      </c:pt>
                      <c:pt idx="33">
                        <c:v>2.3450316108780922</c:v>
                      </c:pt>
                      <c:pt idx="34">
                        <c:v>2.4160931748440948</c:v>
                      </c:pt>
                      <c:pt idx="35">
                        <c:v>2.4871547388100974</c:v>
                      </c:pt>
                      <c:pt idx="36">
                        <c:v>2.5582163027761</c:v>
                      </c:pt>
                      <c:pt idx="37">
                        <c:v>2.6292778667421026</c:v>
                      </c:pt>
                      <c:pt idx="38">
                        <c:v>2.7003394307081052</c:v>
                      </c:pt>
                      <c:pt idx="39">
                        <c:v>2.7714009946741078</c:v>
                      </c:pt>
                      <c:pt idx="40">
                        <c:v>2.8424625586401104</c:v>
                      </c:pt>
                      <c:pt idx="41">
                        <c:v>2.913524122606113</c:v>
                      </c:pt>
                      <c:pt idx="42">
                        <c:v>2.9845856865721156</c:v>
                      </c:pt>
                      <c:pt idx="43">
                        <c:v>3.0556472505381183</c:v>
                      </c:pt>
                      <c:pt idx="44">
                        <c:v>3.1267088145041209</c:v>
                      </c:pt>
                      <c:pt idx="45">
                        <c:v>3.1977703784701235</c:v>
                      </c:pt>
                      <c:pt idx="46">
                        <c:v>3.2688319424361261</c:v>
                      </c:pt>
                      <c:pt idx="47">
                        <c:v>3.3398935064021287</c:v>
                      </c:pt>
                      <c:pt idx="48">
                        <c:v>3.4109550703681313</c:v>
                      </c:pt>
                      <c:pt idx="49">
                        <c:v>3.4820166343341339</c:v>
                      </c:pt>
                      <c:pt idx="50">
                        <c:v>3.5530781983001365</c:v>
                      </c:pt>
                      <c:pt idx="51">
                        <c:v>3.6241397622661391</c:v>
                      </c:pt>
                      <c:pt idx="52">
                        <c:v>3.6952013262321417</c:v>
                      </c:pt>
                      <c:pt idx="53">
                        <c:v>3.7662628901981443</c:v>
                      </c:pt>
                      <c:pt idx="54">
                        <c:v>3.8373244541641469</c:v>
                      </c:pt>
                      <c:pt idx="55">
                        <c:v>3.9083860181301495</c:v>
                      </c:pt>
                      <c:pt idx="56">
                        <c:v>3.9794475820961521</c:v>
                      </c:pt>
                      <c:pt idx="57">
                        <c:v>4.0505091460621552</c:v>
                      </c:pt>
                      <c:pt idx="58">
                        <c:v>4.1215707100281582</c:v>
                      </c:pt>
                      <c:pt idx="59">
                        <c:v>4.1926322739941613</c:v>
                      </c:pt>
                      <c:pt idx="60">
                        <c:v>4.2636938379601643</c:v>
                      </c:pt>
                      <c:pt idx="61">
                        <c:v>4.3347554019261674</c:v>
                      </c:pt>
                      <c:pt idx="62">
                        <c:v>4.4058169658921704</c:v>
                      </c:pt>
                      <c:pt idx="63">
                        <c:v>4.4768785298581735</c:v>
                      </c:pt>
                      <c:pt idx="64">
                        <c:v>4.5479400938241765</c:v>
                      </c:pt>
                      <c:pt idx="65">
                        <c:v>4.6190016577901796</c:v>
                      </c:pt>
                      <c:pt idx="66">
                        <c:v>4.6900632217561826</c:v>
                      </c:pt>
                      <c:pt idx="67">
                        <c:v>4.7611247857221857</c:v>
                      </c:pt>
                      <c:pt idx="68">
                        <c:v>4.8321863496881887</c:v>
                      </c:pt>
                      <c:pt idx="69">
                        <c:v>4.9032479136541918</c:v>
                      </c:pt>
                      <c:pt idx="70">
                        <c:v>4.9743094776201948</c:v>
                      </c:pt>
                      <c:pt idx="71">
                        <c:v>5.0453710415861979</c:v>
                      </c:pt>
                      <c:pt idx="72">
                        <c:v>5.1164326055522009</c:v>
                      </c:pt>
                      <c:pt idx="73">
                        <c:v>5.187494169518204</c:v>
                      </c:pt>
                      <c:pt idx="74">
                        <c:v>5.258555733484207</c:v>
                      </c:pt>
                      <c:pt idx="75">
                        <c:v>5.3296172974502101</c:v>
                      </c:pt>
                      <c:pt idx="76">
                        <c:v>5.4006788614162131</c:v>
                      </c:pt>
                      <c:pt idx="77">
                        <c:v>5.4717404253822162</c:v>
                      </c:pt>
                      <c:pt idx="78">
                        <c:v>5.5428019893482192</c:v>
                      </c:pt>
                      <c:pt idx="79">
                        <c:v>5.6138635533142223</c:v>
                      </c:pt>
                      <c:pt idx="80">
                        <c:v>5.6849251172802253</c:v>
                      </c:pt>
                      <c:pt idx="81">
                        <c:v>5.7559866812462284</c:v>
                      </c:pt>
                      <c:pt idx="82">
                        <c:v>5.8270482452122314</c:v>
                      </c:pt>
                      <c:pt idx="83">
                        <c:v>5.8981098091782345</c:v>
                      </c:pt>
                      <c:pt idx="84">
                        <c:v>5.9691713731442375</c:v>
                      </c:pt>
                      <c:pt idx="85">
                        <c:v>6.0402329371102406</c:v>
                      </c:pt>
                      <c:pt idx="86">
                        <c:v>6.1112945010762436</c:v>
                      </c:pt>
                      <c:pt idx="87">
                        <c:v>6.1823560650422467</c:v>
                      </c:pt>
                      <c:pt idx="88">
                        <c:v>6.2534176290082497</c:v>
                      </c:pt>
                      <c:pt idx="89">
                        <c:v>6.3244791929742528</c:v>
                      </c:pt>
                      <c:pt idx="90">
                        <c:v>6.3955407569402558</c:v>
                      </c:pt>
                      <c:pt idx="91">
                        <c:v>6.4666023209062589</c:v>
                      </c:pt>
                      <c:pt idx="92">
                        <c:v>6.5376638848722619</c:v>
                      </c:pt>
                      <c:pt idx="93">
                        <c:v>6.608725448838265</c:v>
                      </c:pt>
                      <c:pt idx="94">
                        <c:v>6.679787012804268</c:v>
                      </c:pt>
                      <c:pt idx="95">
                        <c:v>6.7508485767702711</c:v>
                      </c:pt>
                      <c:pt idx="96">
                        <c:v>6.8219101407362741</c:v>
                      </c:pt>
                      <c:pt idx="97">
                        <c:v>6.8929717047022772</c:v>
                      </c:pt>
                      <c:pt idx="98">
                        <c:v>6.9640332686682802</c:v>
                      </c:pt>
                      <c:pt idx="99">
                        <c:v>7.0350948326342833</c:v>
                      </c:pt>
                      <c:pt idx="100">
                        <c:v>7.1061563966002863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Sheet1!$AF$12:$AF$112</c15:sqref>
                        </c15:formulaRef>
                      </c:ext>
                    </c:extLst>
                    <c:numCache>
                      <c:formatCode>0.0000</c:formatCode>
                      <c:ptCount val="101"/>
                      <c:pt idx="0">
                        <c:v>9.9301583047464526</c:v>
                      </c:pt>
                      <c:pt idx="1">
                        <c:v>9.8297180369633761</c:v>
                      </c:pt>
                      <c:pt idx="2">
                        <c:v>9.5375104387456933</c:v>
                      </c:pt>
                      <c:pt idx="3">
                        <c:v>9.0790208022932752</c:v>
                      </c:pt>
                      <c:pt idx="4">
                        <c:v>8.4911790194383396</c:v>
                      </c:pt>
                      <c:pt idx="5">
                        <c:v>7.8159421650125136</c:v>
                      </c:pt>
                      <c:pt idx="6">
                        <c:v>7.0941728611951334</c:v>
                      </c:pt>
                      <c:pt idx="7">
                        <c:v>6.3611078863215802</c:v>
                      </c:pt>
                      <c:pt idx="8">
                        <c:v>5.6439188001186098</c:v>
                      </c:pt>
                      <c:pt idx="9">
                        <c:v>4.961180938024544</c:v>
                      </c:pt>
                      <c:pt idx="10">
                        <c:v>4.3236938600017689</c:v>
                      </c:pt>
                      <c:pt idx="11">
                        <c:v>3.7360255370089139</c:v>
                      </c:pt>
                      <c:pt idx="12">
                        <c:v>3.1982673825120731</c:v>
                      </c:pt>
                      <c:pt idx="13">
                        <c:v>2.7076663928220355</c:v>
                      </c:pt>
                      <c:pt idx="14">
                        <c:v>2.2599656716901686</c:v>
                      </c:pt>
                      <c:pt idx="15">
                        <c:v>1.8504026430525562</c:v>
                      </c:pt>
                      <c:pt idx="16">
                        <c:v>1.4743828727773143</c:v>
                      </c:pt>
                      <c:pt idx="17">
                        <c:v>1.1278784298057702</c:v>
                      </c:pt>
                      <c:pt idx="18">
                        <c:v>0.80760805345888642</c:v>
                      </c:pt>
                      <c:pt idx="19">
                        <c:v>0.51105433122902399</c:v>
                      </c:pt>
                      <c:pt idx="20">
                        <c:v>0.23636821717252343</c:v>
                      </c:pt>
                      <c:pt idx="21">
                        <c:v>-1.7793386285334535E-2</c:v>
                      </c:pt>
                      <c:pt idx="22">
                        <c:v>-0.25245571706319048</c:v>
                      </c:pt>
                      <c:pt idx="23">
                        <c:v>-0.46850449753928713</c:v>
                      </c:pt>
                      <c:pt idx="24">
                        <c:v>-0.66682765729894689</c:v>
                      </c:pt>
                      <c:pt idx="25">
                        <c:v>-0.84840473105156722</c:v>
                      </c:pt>
                      <c:pt idx="26">
                        <c:v>-1.0143404589551996</c:v>
                      </c:pt>
                      <c:pt idx="27">
                        <c:v>-1.165849988242307</c:v>
                      </c:pt>
                      <c:pt idx="28">
                        <c:v>-1.3042104271733621</c:v>
                      </c:pt>
                      <c:pt idx="29">
                        <c:v>-1.4306963123755447</c:v>
                      </c:pt>
                      <c:pt idx="30">
                        <c:v>-1.5465151836931439</c:v>
                      </c:pt>
                      <c:pt idx="31">
                        <c:v>-1.652755284408935</c:v>
                      </c:pt>
                      <c:pt idx="32">
                        <c:v>-1.7503521020813921</c:v>
                      </c:pt>
                      <c:pt idx="33">
                        <c:v>-1.8400754428833772</c:v>
                      </c:pt>
                      <c:pt idx="34">
                        <c:v>-1.922534846140286</c:v>
                      </c:pt>
                      <c:pt idx="35">
                        <c:v>-1.9981987285331961</c:v>
                      </c:pt>
                      <c:pt idx="36">
                        <c:v>-2.067421679825781</c:v>
                      </c:pt>
                      <c:pt idx="37">
                        <c:v>-2.1304745971300645</c:v>
                      </c:pt>
                      <c:pt idx="38">
                        <c:v>-2.1875734979514183</c:v>
                      </c:pt>
                      <c:pt idx="39">
                        <c:v>-2.2389044405298577</c:v>
                      </c:pt>
                      <c:pt idx="40">
                        <c:v>-2.2846434937569859</c:v>
                      </c:pt>
                      <c:pt idx="41">
                        <c:v>-2.3249717038515501</c:v>
                      </c:pt>
                      <c:pt idx="42">
                        <c:v>-2.3600853113992586</c:v>
                      </c:pt>
                      <c:pt idx="43">
                        <c:v>-2.3902012291156192</c:v>
                      </c:pt>
                      <c:pt idx="44">
                        <c:v>-2.4155574086201765</c:v>
                      </c:pt>
                      <c:pt idx="45">
                        <c:v>-2.4364076471769929</c:v>
                      </c:pt>
                      <c:pt idx="46">
                        <c:v>-2.4530108417408307</c:v>
                      </c:pt>
                      <c:pt idx="47">
                        <c:v>-2.4656155920601219</c:v>
                      </c:pt>
                      <c:pt idx="48">
                        <c:v>-2.4744420501771947</c:v>
                      </c:pt>
                      <c:pt idx="49">
                        <c:v>-2.4796636322706131</c:v>
                      </c:pt>
                      <c:pt idx="50">
                        <c:v>-2.4813914090547029</c:v>
                      </c:pt>
                      <c:pt idx="51">
                        <c:v>-2.4796636322706127</c:v>
                      </c:pt>
                      <c:pt idx="52">
                        <c:v>-2.4744420501771938</c:v>
                      </c:pt>
                      <c:pt idx="53">
                        <c:v>-2.465615592060121</c:v>
                      </c:pt>
                      <c:pt idx="54">
                        <c:v>-2.453010841740829</c:v>
                      </c:pt>
                      <c:pt idx="55">
                        <c:v>-2.4364076471769911</c:v>
                      </c:pt>
                      <c:pt idx="56">
                        <c:v>-2.4155574086201739</c:v>
                      </c:pt>
                      <c:pt idx="57">
                        <c:v>-2.3902012291156169</c:v>
                      </c:pt>
                      <c:pt idx="58">
                        <c:v>-2.3600853113992559</c:v>
                      </c:pt>
                      <c:pt idx="59">
                        <c:v>-2.3249717038515474</c:v>
                      </c:pt>
                      <c:pt idx="60">
                        <c:v>-2.2846434937569824</c:v>
                      </c:pt>
                      <c:pt idx="61">
                        <c:v>-2.2389044405298537</c:v>
                      </c:pt>
                      <c:pt idx="62">
                        <c:v>-2.1875734979514143</c:v>
                      </c:pt>
                      <c:pt idx="63">
                        <c:v>-2.1304745971300592</c:v>
                      </c:pt>
                      <c:pt idx="64">
                        <c:v>-2.0674216798257756</c:v>
                      </c:pt>
                      <c:pt idx="65">
                        <c:v>-1.9981987285331912</c:v>
                      </c:pt>
                      <c:pt idx="66">
                        <c:v>-1.9225348461402805</c:v>
                      </c:pt>
                      <c:pt idx="67">
                        <c:v>-1.8400754428833721</c:v>
                      </c:pt>
                      <c:pt idx="68">
                        <c:v>-1.7503521020813875</c:v>
                      </c:pt>
                      <c:pt idx="69">
                        <c:v>-1.6527552844089302</c:v>
                      </c:pt>
                      <c:pt idx="70">
                        <c:v>-1.546515183693139</c:v>
                      </c:pt>
                      <c:pt idx="71">
                        <c:v>-1.4306963123755405</c:v>
                      </c:pt>
                      <c:pt idx="72">
                        <c:v>-1.3042104271733586</c:v>
                      </c:pt>
                      <c:pt idx="73">
                        <c:v>-1.1658499882423043</c:v>
                      </c:pt>
                      <c:pt idx="74">
                        <c:v>-1.0143404589551968</c:v>
                      </c:pt>
                      <c:pt idx="75">
                        <c:v>-0.84840473105156589</c:v>
                      </c:pt>
                      <c:pt idx="76">
                        <c:v>-0.666827657298947</c:v>
                      </c:pt>
                      <c:pt idx="77">
                        <c:v>-0.46850449753928858</c:v>
                      </c:pt>
                      <c:pt idx="78">
                        <c:v>-0.25245571706319364</c:v>
                      </c:pt>
                      <c:pt idx="79">
                        <c:v>-1.7793386285339659E-2</c:v>
                      </c:pt>
                      <c:pt idx="80">
                        <c:v>0.23636821717251538</c:v>
                      </c:pt>
                      <c:pt idx="81">
                        <c:v>0.51105433122901411</c:v>
                      </c:pt>
                      <c:pt idx="82">
                        <c:v>0.80760805345887354</c:v>
                      </c:pt>
                      <c:pt idx="83">
                        <c:v>1.127878429805754</c:v>
                      </c:pt>
                      <c:pt idx="84">
                        <c:v>1.4743828727772943</c:v>
                      </c:pt>
                      <c:pt idx="85">
                        <c:v>1.8504026430525318</c:v>
                      </c:pt>
                      <c:pt idx="86">
                        <c:v>2.2599656716901384</c:v>
                      </c:pt>
                      <c:pt idx="87">
                        <c:v>2.7076663928220022</c:v>
                      </c:pt>
                      <c:pt idx="88">
                        <c:v>3.1982673825120314</c:v>
                      </c:pt>
                      <c:pt idx="89">
                        <c:v>3.7360255370088651</c:v>
                      </c:pt>
                      <c:pt idx="90">
                        <c:v>4.3236938600017139</c:v>
                      </c:pt>
                      <c:pt idx="91">
                        <c:v>4.9611809380244809</c:v>
                      </c:pt>
                      <c:pt idx="92">
                        <c:v>5.6439188001185396</c:v>
                      </c:pt>
                      <c:pt idx="93">
                        <c:v>6.3611078863215047</c:v>
                      </c:pt>
                      <c:pt idx="94">
                        <c:v>7.094172861195049</c:v>
                      </c:pt>
                      <c:pt idx="95">
                        <c:v>7.815942165012431</c:v>
                      </c:pt>
                      <c:pt idx="96">
                        <c:v>8.4911790194382633</c:v>
                      </c:pt>
                      <c:pt idx="97">
                        <c:v>9.0790208022932095</c:v>
                      </c:pt>
                      <c:pt idx="98">
                        <c:v>9.53751043874564</c:v>
                      </c:pt>
                      <c:pt idx="99">
                        <c:v>9.8297180369633477</c:v>
                      </c:pt>
                      <c:pt idx="100">
                        <c:v>9.9301583047464526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BED-4FA3-86E4-9B82A63DB67E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u+uc+um</c:v>
                </c:tx>
                <c:spPr>
                  <a:ln w="19050" cap="rnd">
                    <a:solidFill>
                      <a:srgbClr val="0070C0"/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noFill/>
                    <a:ln w="9525">
                      <a:solidFill>
                        <a:srgbClr val="0070C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Sheet1!$G$12:$G$112</c15:sqref>
                        </c15:formulaRef>
                      </c:ext>
                    </c:extLst>
                    <c:numCache>
                      <c:formatCode>0.0000</c:formatCode>
                      <c:ptCount val="101"/>
                      <c:pt idx="0" formatCode="General">
                        <c:v>0</c:v>
                      </c:pt>
                      <c:pt idx="1">
                        <c:v>7.1061563966002814E-2</c:v>
                      </c:pt>
                      <c:pt idx="2">
                        <c:v>0.14212312793200563</c:v>
                      </c:pt>
                      <c:pt idx="3">
                        <c:v>0.21318469189800843</c:v>
                      </c:pt>
                      <c:pt idx="4">
                        <c:v>0.28424625586401125</c:v>
                      </c:pt>
                      <c:pt idx="5">
                        <c:v>0.35530781983001408</c:v>
                      </c:pt>
                      <c:pt idx="6">
                        <c:v>0.42636938379601691</c:v>
                      </c:pt>
                      <c:pt idx="7">
                        <c:v>0.49743094776201974</c:v>
                      </c:pt>
                      <c:pt idx="8">
                        <c:v>0.56849251172802251</c:v>
                      </c:pt>
                      <c:pt idx="9">
                        <c:v>0.63955407569402534</c:v>
                      </c:pt>
                      <c:pt idx="10">
                        <c:v>0.71061563966002816</c:v>
                      </c:pt>
                      <c:pt idx="11">
                        <c:v>0.78167720362603099</c:v>
                      </c:pt>
                      <c:pt idx="12">
                        <c:v>0.85273876759203382</c:v>
                      </c:pt>
                      <c:pt idx="13">
                        <c:v>0.92380033155803665</c:v>
                      </c:pt>
                      <c:pt idx="14">
                        <c:v>0.99486189552403947</c:v>
                      </c:pt>
                      <c:pt idx="15">
                        <c:v>1.0659234594900422</c:v>
                      </c:pt>
                      <c:pt idx="16">
                        <c:v>1.136985023456045</c:v>
                      </c:pt>
                      <c:pt idx="17">
                        <c:v>1.2080465874220478</c:v>
                      </c:pt>
                      <c:pt idx="18">
                        <c:v>1.2791081513880507</c:v>
                      </c:pt>
                      <c:pt idx="19">
                        <c:v>1.3501697153540535</c:v>
                      </c:pt>
                      <c:pt idx="20">
                        <c:v>1.4212312793200563</c:v>
                      </c:pt>
                      <c:pt idx="21">
                        <c:v>1.4922928432860592</c:v>
                      </c:pt>
                      <c:pt idx="22">
                        <c:v>1.563354407252062</c:v>
                      </c:pt>
                      <c:pt idx="23">
                        <c:v>1.6344159712180648</c:v>
                      </c:pt>
                      <c:pt idx="24">
                        <c:v>1.7054775351840676</c:v>
                      </c:pt>
                      <c:pt idx="25">
                        <c:v>1.7765390991500705</c:v>
                      </c:pt>
                      <c:pt idx="26">
                        <c:v>1.8476006631160733</c:v>
                      </c:pt>
                      <c:pt idx="27">
                        <c:v>1.9186622270820761</c:v>
                      </c:pt>
                      <c:pt idx="28">
                        <c:v>1.9897237910480789</c:v>
                      </c:pt>
                      <c:pt idx="29">
                        <c:v>2.0607853550140818</c:v>
                      </c:pt>
                      <c:pt idx="30">
                        <c:v>2.1318469189800844</c:v>
                      </c:pt>
                      <c:pt idx="31">
                        <c:v>2.202908482946087</c:v>
                      </c:pt>
                      <c:pt idx="32">
                        <c:v>2.2739700469120896</c:v>
                      </c:pt>
                      <c:pt idx="33">
                        <c:v>2.3450316108780922</c:v>
                      </c:pt>
                      <c:pt idx="34">
                        <c:v>2.4160931748440948</c:v>
                      </c:pt>
                      <c:pt idx="35">
                        <c:v>2.4871547388100974</c:v>
                      </c:pt>
                      <c:pt idx="36">
                        <c:v>2.5582163027761</c:v>
                      </c:pt>
                      <c:pt idx="37">
                        <c:v>2.6292778667421026</c:v>
                      </c:pt>
                      <c:pt idx="38">
                        <c:v>2.7003394307081052</c:v>
                      </c:pt>
                      <c:pt idx="39">
                        <c:v>2.7714009946741078</c:v>
                      </c:pt>
                      <c:pt idx="40">
                        <c:v>2.8424625586401104</c:v>
                      </c:pt>
                      <c:pt idx="41">
                        <c:v>2.913524122606113</c:v>
                      </c:pt>
                      <c:pt idx="42">
                        <c:v>2.9845856865721156</c:v>
                      </c:pt>
                      <c:pt idx="43">
                        <c:v>3.0556472505381183</c:v>
                      </c:pt>
                      <c:pt idx="44">
                        <c:v>3.1267088145041209</c:v>
                      </c:pt>
                      <c:pt idx="45">
                        <c:v>3.1977703784701235</c:v>
                      </c:pt>
                      <c:pt idx="46">
                        <c:v>3.2688319424361261</c:v>
                      </c:pt>
                      <c:pt idx="47">
                        <c:v>3.3398935064021287</c:v>
                      </c:pt>
                      <c:pt idx="48">
                        <c:v>3.4109550703681313</c:v>
                      </c:pt>
                      <c:pt idx="49">
                        <c:v>3.4820166343341339</c:v>
                      </c:pt>
                      <c:pt idx="50">
                        <c:v>3.5530781983001365</c:v>
                      </c:pt>
                      <c:pt idx="51">
                        <c:v>3.6241397622661391</c:v>
                      </c:pt>
                      <c:pt idx="52">
                        <c:v>3.6952013262321417</c:v>
                      </c:pt>
                      <c:pt idx="53">
                        <c:v>3.7662628901981443</c:v>
                      </c:pt>
                      <c:pt idx="54">
                        <c:v>3.8373244541641469</c:v>
                      </c:pt>
                      <c:pt idx="55">
                        <c:v>3.9083860181301495</c:v>
                      </c:pt>
                      <c:pt idx="56">
                        <c:v>3.9794475820961521</c:v>
                      </c:pt>
                      <c:pt idx="57">
                        <c:v>4.0505091460621552</c:v>
                      </c:pt>
                      <c:pt idx="58">
                        <c:v>4.1215707100281582</c:v>
                      </c:pt>
                      <c:pt idx="59">
                        <c:v>4.1926322739941613</c:v>
                      </c:pt>
                      <c:pt idx="60">
                        <c:v>4.2636938379601643</c:v>
                      </c:pt>
                      <c:pt idx="61">
                        <c:v>4.3347554019261674</c:v>
                      </c:pt>
                      <c:pt idx="62">
                        <c:v>4.4058169658921704</c:v>
                      </c:pt>
                      <c:pt idx="63">
                        <c:v>4.4768785298581735</c:v>
                      </c:pt>
                      <c:pt idx="64">
                        <c:v>4.5479400938241765</c:v>
                      </c:pt>
                      <c:pt idx="65">
                        <c:v>4.6190016577901796</c:v>
                      </c:pt>
                      <c:pt idx="66">
                        <c:v>4.6900632217561826</c:v>
                      </c:pt>
                      <c:pt idx="67">
                        <c:v>4.7611247857221857</c:v>
                      </c:pt>
                      <c:pt idx="68">
                        <c:v>4.8321863496881887</c:v>
                      </c:pt>
                      <c:pt idx="69">
                        <c:v>4.9032479136541918</c:v>
                      </c:pt>
                      <c:pt idx="70">
                        <c:v>4.9743094776201948</c:v>
                      </c:pt>
                      <c:pt idx="71">
                        <c:v>5.0453710415861979</c:v>
                      </c:pt>
                      <c:pt idx="72">
                        <c:v>5.1164326055522009</c:v>
                      </c:pt>
                      <c:pt idx="73">
                        <c:v>5.187494169518204</c:v>
                      </c:pt>
                      <c:pt idx="74">
                        <c:v>5.258555733484207</c:v>
                      </c:pt>
                      <c:pt idx="75">
                        <c:v>5.3296172974502101</c:v>
                      </c:pt>
                      <c:pt idx="76">
                        <c:v>5.4006788614162131</c:v>
                      </c:pt>
                      <c:pt idx="77">
                        <c:v>5.4717404253822162</c:v>
                      </c:pt>
                      <c:pt idx="78">
                        <c:v>5.5428019893482192</c:v>
                      </c:pt>
                      <c:pt idx="79">
                        <c:v>5.6138635533142223</c:v>
                      </c:pt>
                      <c:pt idx="80">
                        <c:v>5.6849251172802253</c:v>
                      </c:pt>
                      <c:pt idx="81">
                        <c:v>5.7559866812462284</c:v>
                      </c:pt>
                      <c:pt idx="82">
                        <c:v>5.8270482452122314</c:v>
                      </c:pt>
                      <c:pt idx="83">
                        <c:v>5.8981098091782345</c:v>
                      </c:pt>
                      <c:pt idx="84">
                        <c:v>5.9691713731442375</c:v>
                      </c:pt>
                      <c:pt idx="85">
                        <c:v>6.0402329371102406</c:v>
                      </c:pt>
                      <c:pt idx="86">
                        <c:v>6.1112945010762436</c:v>
                      </c:pt>
                      <c:pt idx="87">
                        <c:v>6.1823560650422467</c:v>
                      </c:pt>
                      <c:pt idx="88">
                        <c:v>6.2534176290082497</c:v>
                      </c:pt>
                      <c:pt idx="89">
                        <c:v>6.3244791929742528</c:v>
                      </c:pt>
                      <c:pt idx="90">
                        <c:v>6.3955407569402558</c:v>
                      </c:pt>
                      <c:pt idx="91">
                        <c:v>6.4666023209062589</c:v>
                      </c:pt>
                      <c:pt idx="92">
                        <c:v>6.5376638848722619</c:v>
                      </c:pt>
                      <c:pt idx="93">
                        <c:v>6.608725448838265</c:v>
                      </c:pt>
                      <c:pt idx="94">
                        <c:v>6.679787012804268</c:v>
                      </c:pt>
                      <c:pt idx="95">
                        <c:v>6.7508485767702711</c:v>
                      </c:pt>
                      <c:pt idx="96">
                        <c:v>6.8219101407362741</c:v>
                      </c:pt>
                      <c:pt idx="97">
                        <c:v>6.8929717047022772</c:v>
                      </c:pt>
                      <c:pt idx="98">
                        <c:v>6.9640332686682802</c:v>
                      </c:pt>
                      <c:pt idx="99">
                        <c:v>7.0350948326342833</c:v>
                      </c:pt>
                      <c:pt idx="100">
                        <c:v>7.1061563966002863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BED-4FA3-86E4-9B82A63DB67E}"/>
                  </c:ext>
                </c:extLst>
              </c15:ser>
            </c15:filteredScatterSeries>
          </c:ext>
        </c:extLst>
      </c:scatterChart>
      <c:valAx>
        <c:axId val="29699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theta (rad)</a:t>
                </a:r>
              </a:p>
            </c:rich>
          </c:tx>
          <c:layout>
            <c:manualLayout>
              <c:xMode val="edge"/>
              <c:yMode val="edge"/>
              <c:x val="0.82103067870868174"/>
              <c:y val="0.540254968128983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996168"/>
        <c:crosses val="autoZero"/>
        <c:crossBetween val="midCat"/>
      </c:valAx>
      <c:valAx>
        <c:axId val="29699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</a:t>
                </a:r>
                <a:r>
                  <a:rPr lang="en-US" baseline="0"/>
                  <a:t> (m/sec)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1799410029498525E-2"/>
              <c:y val="0.407999040442525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998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735974387873164"/>
          <c:y val="3.2987835093774252E-2"/>
          <c:w val="0.70382780133609379"/>
          <c:h val="8.2604317317478179E-2"/>
        </c:manualLayout>
      </c:layout>
      <c:overlay val="0"/>
      <c:spPr>
        <a:solidFill>
          <a:srgbClr val="FFFFCC"/>
        </a:solidFill>
        <a:ln w="19050"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D1F7FF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9</xdr:row>
      <xdr:rowOff>38100</xdr:rowOff>
    </xdr:from>
    <xdr:to>
      <xdr:col>10</xdr:col>
      <xdr:colOff>581025</xdr:colOff>
      <xdr:row>25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685800</xdr:colOff>
      <xdr:row>9</xdr:row>
      <xdr:rowOff>66674</xdr:rowOff>
    </xdr:from>
    <xdr:to>
      <xdr:col>19</xdr:col>
      <xdr:colOff>57151</xdr:colOff>
      <xdr:row>25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609600</xdr:colOff>
      <xdr:row>6</xdr:row>
      <xdr:rowOff>152400</xdr:rowOff>
    </xdr:from>
    <xdr:ext cx="1126847" cy="321050"/>
    <xdr:sp macro="" textlink="">
      <xdr:nvSpPr>
        <xdr:cNvPr id="4" name="TextBox 3"/>
        <xdr:cNvSpPr txBox="1"/>
      </xdr:nvSpPr>
      <xdr:spPr>
        <a:xfrm>
          <a:off x="7086600" y="1571625"/>
          <a:ext cx="1126847" cy="321050"/>
        </a:xfrm>
        <a:prstGeom prst="rect">
          <a:avLst/>
        </a:prstGeom>
        <a:solidFill>
          <a:srgbClr val="45F95A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theta=kx</a:t>
          </a:r>
          <a:r>
            <a:rPr lang="en-US" sz="1400" b="1" baseline="0">
              <a:latin typeface="Symbol" panose="05050102010706020507" pitchFamily="18" charset="2"/>
            </a:rPr>
            <a:t>-w</a:t>
          </a:r>
          <a:r>
            <a:rPr lang="en-US" sz="1400" b="1"/>
            <a:t>t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0.7537</cdr:x>
      <cdr:y>0.06154</cdr:y>
    </cdr:from>
    <cdr:to>
      <cdr:x>0.94444</cdr:x>
      <cdr:y>0.35692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76675" y="190501"/>
          <a:ext cx="9810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tabSelected="1" zoomScaleNormal="100" zoomScaleSheetLayoutView="100" workbookViewId="0">
      <selection activeCell="B5" sqref="B5"/>
    </sheetView>
  </sheetViews>
  <sheetFormatPr defaultRowHeight="15" x14ac:dyDescent="0.25"/>
  <cols>
    <col min="1" max="1" width="15.42578125" customWidth="1"/>
    <col min="2" max="2" width="8.28515625" customWidth="1"/>
    <col min="3" max="3" width="10.42578125" customWidth="1"/>
    <col min="4" max="4" width="7.140625" customWidth="1"/>
    <col min="5" max="5" width="9.85546875" customWidth="1"/>
    <col min="7" max="7" width="7.7109375" customWidth="1"/>
    <col min="8" max="8" width="9" customWidth="1"/>
    <col min="9" max="9" width="9.42578125" customWidth="1"/>
    <col min="10" max="10" width="7.85546875" customWidth="1"/>
    <col min="11" max="11" width="14.5703125" customWidth="1"/>
    <col min="12" max="12" width="8.85546875" customWidth="1"/>
    <col min="13" max="13" width="10.5703125" customWidth="1"/>
    <col min="14" max="14" width="10.28515625" customWidth="1"/>
    <col min="15" max="15" width="9.140625" customWidth="1"/>
    <col min="16" max="16" width="9" customWidth="1"/>
    <col min="17" max="17" width="8.7109375" customWidth="1"/>
    <col min="18" max="18" width="6.140625" customWidth="1"/>
    <col min="19" max="20" width="9.28515625" customWidth="1"/>
    <col min="21" max="21" width="9.140625" customWidth="1"/>
    <col min="22" max="22" width="8.42578125" customWidth="1"/>
    <col min="23" max="23" width="8.5703125" customWidth="1"/>
    <col min="24" max="24" width="8.85546875" customWidth="1"/>
    <col min="25" max="25" width="9.7109375" customWidth="1"/>
    <col min="26" max="26" width="5.28515625" customWidth="1"/>
    <col min="27" max="27" width="8.140625" customWidth="1"/>
    <col min="28" max="28" width="7.85546875" customWidth="1"/>
    <col min="29" max="29" width="7.42578125" customWidth="1"/>
    <col min="30" max="30" width="8.140625" customWidth="1"/>
    <col min="31" max="31" width="8.85546875" customWidth="1"/>
    <col min="32" max="32" width="8.42578125" customWidth="1"/>
    <col min="35" max="35" width="9.7109375" customWidth="1"/>
    <col min="37" max="37" width="5.28515625" customWidth="1"/>
    <col min="45" max="45" width="4.5703125" customWidth="1"/>
  </cols>
  <sheetData>
    <row r="1" spans="1:32" ht="21" x14ac:dyDescent="0.25">
      <c r="C1" s="125" t="s">
        <v>121</v>
      </c>
    </row>
    <row r="2" spans="1:32" ht="16.5" customHeight="1" thickBot="1" x14ac:dyDescent="0.35">
      <c r="C2" s="33"/>
      <c r="D2" s="33"/>
      <c r="E2" s="64"/>
      <c r="G2" s="115" t="s">
        <v>116</v>
      </c>
      <c r="N2" s="116"/>
      <c r="Q2" s="37"/>
      <c r="R2" s="37"/>
      <c r="S2" s="48"/>
    </row>
    <row r="3" spans="1:32" ht="15.75" thickBot="1" x14ac:dyDescent="0.3">
      <c r="A3" s="169" t="s">
        <v>124</v>
      </c>
      <c r="B3" s="167"/>
      <c r="C3" s="168"/>
      <c r="Q3" s="37"/>
      <c r="R3" s="33"/>
      <c r="S3" s="37"/>
    </row>
    <row r="4" spans="1:32" ht="19.5" thickBot="1" x14ac:dyDescent="0.35">
      <c r="A4" s="161" t="s">
        <v>94</v>
      </c>
      <c r="B4" s="162">
        <v>11</v>
      </c>
      <c r="D4" s="110" t="s">
        <v>112</v>
      </c>
      <c r="E4" s="111">
        <f>HRMS/Lp</f>
        <v>0.12625112539606848</v>
      </c>
      <c r="F4" s="89" t="s">
        <v>113</v>
      </c>
      <c r="G4" s="112">
        <f>dp/(9.81*POWER(Tp,2))</f>
        <v>4.0373041235045336E-2</v>
      </c>
      <c r="K4" s="114" t="s">
        <v>92</v>
      </c>
      <c r="L4" s="52"/>
      <c r="M4" s="52"/>
      <c r="N4" s="52"/>
      <c r="O4" s="34">
        <f>POWER(Lp,2)*HRMS/POWER(dp,3)</f>
        <v>10.438006243890113</v>
      </c>
      <c r="P4" s="49" t="s">
        <v>89</v>
      </c>
      <c r="Q4" s="116" t="str">
        <f>IF(O4&gt;26.32,"WARNING!!!!", " ")</f>
        <v xml:space="preserve"> </v>
      </c>
      <c r="R4" s="33"/>
      <c r="S4" s="37"/>
    </row>
    <row r="5" spans="1:32" ht="19.5" thickBot="1" x14ac:dyDescent="0.35">
      <c r="A5" s="163" t="s">
        <v>115</v>
      </c>
      <c r="B5" s="164">
        <v>7.9</v>
      </c>
      <c r="D5" s="118" t="s">
        <v>88</v>
      </c>
      <c r="E5" s="119">
        <f>HRMS/dp</f>
        <v>0.55000000000000004</v>
      </c>
      <c r="F5" s="93" t="s">
        <v>114</v>
      </c>
      <c r="G5" s="113">
        <f>HRMS/(9.81*POWER(Tp,2))</f>
        <v>2.2205172679274934E-2</v>
      </c>
      <c r="K5" s="126" t="s">
        <v>117</v>
      </c>
      <c r="L5" s="124">
        <f>MAX(AF12:AF112)</f>
        <v>9.9301583047464526</v>
      </c>
      <c r="M5" s="106" t="s">
        <v>108</v>
      </c>
      <c r="N5" s="106"/>
      <c r="O5" s="106"/>
      <c r="P5" s="107">
        <f>CW</f>
        <v>12.260908900356416</v>
      </c>
      <c r="Q5" s="117" t="str">
        <f>IF(L5&gt;CW,"WARNING!!!!", " ")</f>
        <v xml:space="preserve"> </v>
      </c>
      <c r="R5" s="33"/>
      <c r="S5" s="37"/>
    </row>
    <row r="6" spans="1:32" ht="19.5" thickBot="1" x14ac:dyDescent="0.35">
      <c r="A6" s="163" t="s">
        <v>91</v>
      </c>
      <c r="B6" s="164">
        <v>20</v>
      </c>
      <c r="D6" s="120" t="s">
        <v>0</v>
      </c>
      <c r="E6" s="121">
        <f>dp/Lp</f>
        <v>0.22954750072012448</v>
      </c>
      <c r="K6" s="36" t="s">
        <v>110</v>
      </c>
      <c r="L6" s="135">
        <f>HRMS*2*PI()/(9.81*POWER(Tp,2))</f>
        <v>0.13951921472180581</v>
      </c>
      <c r="M6" s="106" t="s">
        <v>109</v>
      </c>
      <c r="N6" s="106"/>
      <c r="O6" s="108"/>
      <c r="P6" s="37"/>
      <c r="Q6" s="117" t="str">
        <f>IF(L6&gt;0.14,"WARNING!!!!", " ")</f>
        <v xml:space="preserve"> </v>
      </c>
      <c r="S6" s="37"/>
    </row>
    <row r="7" spans="1:32" ht="15.75" thickBot="1" x14ac:dyDescent="0.3">
      <c r="A7" s="165" t="s">
        <v>93</v>
      </c>
      <c r="B7" s="166">
        <v>4</v>
      </c>
      <c r="C7" t="s">
        <v>95</v>
      </c>
      <c r="K7" s="33"/>
      <c r="L7" s="33"/>
      <c r="M7" s="33"/>
      <c r="N7" s="170"/>
      <c r="O7" s="171"/>
      <c r="P7" s="40"/>
      <c r="Q7" s="33"/>
    </row>
    <row r="8" spans="1:32" ht="15.75" thickBot="1" x14ac:dyDescent="0.3">
      <c r="A8" s="129"/>
      <c r="B8" s="109"/>
      <c r="J8" s="50"/>
      <c r="K8" s="51"/>
      <c r="L8" s="33"/>
      <c r="M8" s="33"/>
      <c r="N8" s="170"/>
      <c r="O8" s="171"/>
      <c r="P8" s="40"/>
      <c r="Q8" s="33"/>
      <c r="S8" s="37"/>
      <c r="T8" s="37"/>
      <c r="U8" s="37"/>
      <c r="V8" s="38"/>
    </row>
    <row r="9" spans="1:32" ht="18" customHeight="1" thickBot="1" x14ac:dyDescent="0.3">
      <c r="A9" s="130" t="s">
        <v>83</v>
      </c>
      <c r="B9" s="131">
        <f>Lp</f>
        <v>87.127936210401074</v>
      </c>
      <c r="C9" s="48"/>
      <c r="G9" s="73" t="s">
        <v>84</v>
      </c>
      <c r="I9" s="73" t="s">
        <v>118</v>
      </c>
      <c r="J9" s="30"/>
      <c r="K9" s="33"/>
      <c r="L9" s="33"/>
      <c r="M9" s="30"/>
      <c r="N9" s="170"/>
      <c r="O9" s="171"/>
      <c r="P9" s="40"/>
      <c r="Q9" s="33"/>
    </row>
    <row r="10" spans="1:32" ht="15.75" thickBot="1" x14ac:dyDescent="0.3">
      <c r="A10" s="122" t="s">
        <v>99</v>
      </c>
      <c r="B10" s="123">
        <f>POWER((C_o+C_2*POWER(ep,2)+C_4*POWER(ep,4)), -1)*2*PI()/SQRT(9.81*k)</f>
        <v>7.1061563966002819</v>
      </c>
      <c r="G10" s="127">
        <f>Tp/100</f>
        <v>7.1061563966002814E-2</v>
      </c>
      <c r="I10" s="73">
        <f>tlin/100</f>
        <v>7.9000000000000001E-2</v>
      </c>
      <c r="K10" s="61"/>
      <c r="L10" s="177" t="s">
        <v>82</v>
      </c>
      <c r="M10" s="178"/>
      <c r="N10" s="178"/>
      <c r="O10" s="178"/>
      <c r="P10" s="178"/>
      <c r="Q10" s="179"/>
      <c r="R10" s="60"/>
      <c r="S10" s="175" t="s">
        <v>97</v>
      </c>
      <c r="T10" s="176"/>
      <c r="U10" s="176"/>
      <c r="V10" s="176"/>
      <c r="W10" s="176"/>
      <c r="X10" s="176"/>
      <c r="Y10" s="41"/>
      <c r="AA10" s="172" t="s">
        <v>98</v>
      </c>
      <c r="AB10" s="173"/>
      <c r="AC10" s="173"/>
      <c r="AD10" s="173"/>
      <c r="AE10" s="173"/>
      <c r="AF10" s="174"/>
    </row>
    <row r="11" spans="1:32" ht="15.75" thickBot="1" x14ac:dyDescent="0.3">
      <c r="A11" s="122" t="s">
        <v>96</v>
      </c>
      <c r="B11" s="123">
        <f>Lp/Tp</f>
        <v>12.260908900356416</v>
      </c>
      <c r="D11" s="1" t="s">
        <v>43</v>
      </c>
      <c r="E11" s="8">
        <f>_xlfn.SECH(2*kd)</f>
        <v>0.11140876120416522</v>
      </c>
      <c r="G11" s="5" t="s">
        <v>85</v>
      </c>
      <c r="H11" s="5" t="s">
        <v>63</v>
      </c>
      <c r="I11" s="5" t="s">
        <v>119</v>
      </c>
      <c r="J11" s="149"/>
      <c r="K11" s="150" t="s">
        <v>87</v>
      </c>
      <c r="L11" s="151" t="s">
        <v>64</v>
      </c>
      <c r="M11" s="151" t="s">
        <v>65</v>
      </c>
      <c r="N11" s="151" t="s">
        <v>66</v>
      </c>
      <c r="O11" s="151" t="s">
        <v>67</v>
      </c>
      <c r="P11" s="151" t="s">
        <v>68</v>
      </c>
      <c r="Q11" s="152" t="s">
        <v>80</v>
      </c>
      <c r="R11" s="39"/>
      <c r="S11" s="44" t="s">
        <v>86</v>
      </c>
      <c r="T11" s="42" t="s">
        <v>64</v>
      </c>
      <c r="U11" s="42" t="s">
        <v>65</v>
      </c>
      <c r="V11" s="42" t="s">
        <v>66</v>
      </c>
      <c r="W11" s="42" t="s">
        <v>67</v>
      </c>
      <c r="X11" s="42" t="s">
        <v>68</v>
      </c>
      <c r="Y11" s="45" t="s">
        <v>81</v>
      </c>
      <c r="AA11" s="46" t="s">
        <v>64</v>
      </c>
      <c r="AB11" s="43" t="s">
        <v>65</v>
      </c>
      <c r="AC11" s="43" t="s">
        <v>66</v>
      </c>
      <c r="AD11" s="43" t="s">
        <v>67</v>
      </c>
      <c r="AE11" s="43" t="s">
        <v>68</v>
      </c>
      <c r="AF11" s="47" t="s">
        <v>80</v>
      </c>
    </row>
    <row r="12" spans="1:32" x14ac:dyDescent="0.25">
      <c r="A12" s="128" t="s">
        <v>120</v>
      </c>
      <c r="B12" s="123">
        <f>Clin</f>
        <v>11.028852684860896</v>
      </c>
      <c r="D12" s="1" t="s">
        <v>44</v>
      </c>
      <c r="E12" s="8">
        <f>1-S</f>
        <v>0.88859123879583479</v>
      </c>
      <c r="G12" s="1">
        <v>0</v>
      </c>
      <c r="H12" s="1">
        <v>0</v>
      </c>
      <c r="I12" s="1">
        <v>0</v>
      </c>
      <c r="J12" s="35"/>
      <c r="K12" s="153">
        <f t="shared" ref="K12:K43" si="0">umax*COS(H12)</f>
        <v>3.8177235514862375</v>
      </c>
      <c r="L12" s="154">
        <f t="shared" ref="L12:L43" si="1">(ep*a_1*COSH(kd+k*Y12-k*zpoint)*COS(H12))*C_o*SQRT(9.81/k)</f>
        <v>4.7420059425848002</v>
      </c>
      <c r="M12" s="154">
        <f t="shared" ref="M12:M43" si="2">2*POWER(ep,2)*a_2*COSH(2*(kd+k*Y12-k*zpoint))*COS(2*H12)*C_o*SQRT(9.81/k)</f>
        <v>1.6917551433872584</v>
      </c>
      <c r="N12" s="154">
        <f t="shared" ref="N12:N43" si="3">3*POWER(ep,3)*a_3*COSH(3*(kd+k*Y12-k*zpoint))*COS(3*H12)*C_o*SQRT(9.81/k)</f>
        <v>0.31819531291774128</v>
      </c>
      <c r="O12" s="154">
        <f t="shared" ref="O12:O43" si="4">4*POWER(ep,4)*a_4*COSH(4*(kd+k*Y12-k*zpoint))*COS(4*H12)*C_o*SQRT(9.81/k)</f>
        <v>-4.1502990962586965E-2</v>
      </c>
      <c r="P12" s="154">
        <f t="shared" ref="P12:P43" si="5">5*POWER(ep,5)*a_5*COSH(5*(kd+k*Y12-k*zpoint))*COS(5*H12)*C_o*SQRT(9.81/k)</f>
        <v>1.3955437786848521E-2</v>
      </c>
      <c r="Q12" s="155">
        <f>SUM(L12:P12)</f>
        <v>6.7244088457140609</v>
      </c>
      <c r="R12" s="33"/>
      <c r="S12" s="136">
        <f t="shared" ref="S12:S43" si="6">HRMS/2*COS(H12)</f>
        <v>5.5</v>
      </c>
      <c r="T12" s="137">
        <f t="shared" ref="T12:T43" si="7">ep*b_1*COS(H12)/k</f>
        <v>4.5806721205147856</v>
      </c>
      <c r="U12" s="137">
        <f t="shared" ref="U12:U43" si="8">POWER(ep,2)*b_2*COS(2*H12)/k</f>
        <v>1.6964553583521853</v>
      </c>
      <c r="V12" s="137">
        <f t="shared" ref="V12:V43" si="9">POWER(ep,3)*b_3*COS(3*H12)/k</f>
        <v>0.77814539107059111</v>
      </c>
      <c r="W12" s="137">
        <f t="shared" ref="W12:W43" si="10">POWER(ep,4)*b_4*COS(4*H12)/k</f>
        <v>0.28545141956732339</v>
      </c>
      <c r="X12" s="137">
        <f t="shared" ref="X12:X43" si="11">POWER(ep,5)*b_5*COS(5*H12)/k</f>
        <v>0.14118248841462352</v>
      </c>
      <c r="Y12" s="138">
        <f>SUM(T12:X12)</f>
        <v>7.4819067779195088</v>
      </c>
      <c r="AA12" s="141">
        <f t="shared" ref="AA12:AA43" si="12">(ep*a_1*COSH(kd+k*Y12)*COS(H12))*C_o*SQRT(9.81/k)</f>
        <v>6.2368455136127725</v>
      </c>
      <c r="AB12" s="142">
        <f t="shared" ref="AB12:AB43" si="13">2*POWER(ep,2)*a_2*COSH(2*(kd+k*Y12))*COS(2*H12)*C_o*SQRT(9.81/k)</f>
        <v>3.0098794068717161</v>
      </c>
      <c r="AC12" s="142">
        <f t="shared" ref="AC12:AC43" si="14">3*POWER(ep,3)*a_3*COSH(3*(kd+k*Y12))*COS(3*H12)*C_o*SQRT(9.81/k)</f>
        <v>0.75597420333077558</v>
      </c>
      <c r="AD12" s="142">
        <f t="shared" ref="AD12:AD43" si="15">4*POWER(ep,4)*a_4*COSH(4*(kd+k*Y12))*COS(4*H12)*C_o*SQRT(9.81/k)</f>
        <v>-0.13157748337914829</v>
      </c>
      <c r="AE12" s="142">
        <f t="shared" ref="AE12:AE43" si="16">5*POWER(ep,5)*a_5*COSH(5*(kd+k*Y12))*COS(5*H12)*C_o*SQRT(9.81/k)</f>
        <v>5.9036664310334774E-2</v>
      </c>
      <c r="AF12" s="143">
        <f>SUM(AA12:AE12)</f>
        <v>9.9301583047464526</v>
      </c>
    </row>
    <row r="13" spans="1:32" x14ac:dyDescent="0.25">
      <c r="A13" s="122" t="s">
        <v>122</v>
      </c>
      <c r="B13" s="132">
        <f>2*PI()/tlin</f>
        <v>0.79533991230121337</v>
      </c>
      <c r="D13" s="1" t="s">
        <v>45</v>
      </c>
      <c r="E13" s="8">
        <f>1/SINH(kd)</f>
        <v>0.50075311199462702</v>
      </c>
      <c r="G13" s="147">
        <f t="shared" ref="G13:G44" si="17">G12+Dt</f>
        <v>7.1061563966002814E-2</v>
      </c>
      <c r="H13" s="147">
        <f>H12+2*PI()/100</f>
        <v>6.2831853071795868E-2</v>
      </c>
      <c r="I13" s="147">
        <f t="shared" ref="I13:I44" si="18">I12+Dtlin</f>
        <v>7.9000000000000001E-2</v>
      </c>
      <c r="J13" s="35"/>
      <c r="K13" s="156">
        <f t="shared" si="0"/>
        <v>3.8101901461333716</v>
      </c>
      <c r="L13" s="8">
        <f t="shared" si="1"/>
        <v>4.7160713167062855</v>
      </c>
      <c r="M13" s="8">
        <f t="shared" si="2"/>
        <v>1.6658845807916987</v>
      </c>
      <c r="N13" s="8">
        <f t="shared" si="3"/>
        <v>0.30905778074772772</v>
      </c>
      <c r="O13" s="8">
        <f t="shared" si="4"/>
        <v>-3.9599741026577123E-2</v>
      </c>
      <c r="P13" s="8">
        <f t="shared" si="5"/>
        <v>1.3025512316984201E-2</v>
      </c>
      <c r="Q13" s="157">
        <f t="shared" ref="Q13:Q76" si="19">SUM(L13:P13)</f>
        <v>6.6644394495361192</v>
      </c>
      <c r="R13" s="33"/>
      <c r="S13" s="136">
        <f t="shared" si="6"/>
        <v>5.4891470063554939</v>
      </c>
      <c r="T13" s="137">
        <f t="shared" si="7"/>
        <v>4.5716332104399653</v>
      </c>
      <c r="U13" s="137">
        <f t="shared" si="8"/>
        <v>1.683078301144924</v>
      </c>
      <c r="V13" s="137">
        <f t="shared" si="9"/>
        <v>0.76436229686193125</v>
      </c>
      <c r="W13" s="137">
        <f t="shared" si="10"/>
        <v>0.27648343831317329</v>
      </c>
      <c r="X13" s="137">
        <f t="shared" si="11"/>
        <v>0.13427252559349273</v>
      </c>
      <c r="Y13" s="138">
        <f t="shared" ref="Y13:Y76" si="20">SUM(T13:X13)</f>
        <v>7.4298297723534867</v>
      </c>
      <c r="AA13" s="141">
        <f t="shared" si="12"/>
        <v>6.2020774941426531</v>
      </c>
      <c r="AB13" s="142">
        <f t="shared" si="13"/>
        <v>2.9638168316966458</v>
      </c>
      <c r="AC13" s="142">
        <f t="shared" si="14"/>
        <v>0.73426455596586104</v>
      </c>
      <c r="AD13" s="142">
        <f t="shared" si="15"/>
        <v>-0.12554358032341073</v>
      </c>
      <c r="AE13" s="142">
        <f t="shared" si="16"/>
        <v>5.5102735481628209E-2</v>
      </c>
      <c r="AF13" s="143">
        <f t="shared" ref="AF13:AF76" si="21">SUM(AA13:AE13)</f>
        <v>9.8297180369633761</v>
      </c>
    </row>
    <row r="14" spans="1:32" ht="15.75" thickBot="1" x14ac:dyDescent="0.3">
      <c r="A14" s="133" t="s">
        <v>123</v>
      </c>
      <c r="B14" s="134">
        <f>2*PI()/Tp</f>
        <v>0.88418899845570242</v>
      </c>
      <c r="D14" s="1" t="s">
        <v>46</v>
      </c>
      <c r="E14" s="8">
        <f>3*POWER(S,2)/(2*POWER(C_,2))</f>
        <v>2.3579027856917432E-2</v>
      </c>
      <c r="G14" s="147">
        <f t="shared" si="17"/>
        <v>0.14212312793200563</v>
      </c>
      <c r="H14" s="147">
        <f t="shared" ref="H14:H77" si="22">H13+2*PI()/100</f>
        <v>0.12566370614359174</v>
      </c>
      <c r="I14" s="147">
        <f t="shared" si="18"/>
        <v>0.158</v>
      </c>
      <c r="J14" s="35"/>
      <c r="K14" s="156">
        <f t="shared" si="0"/>
        <v>3.7876196609840163</v>
      </c>
      <c r="L14" s="8">
        <f t="shared" si="1"/>
        <v>4.6397091759646178</v>
      </c>
      <c r="M14" s="8">
        <f t="shared" si="2"/>
        <v>1.5906717792061231</v>
      </c>
      <c r="N14" s="8">
        <f t="shared" si="3"/>
        <v>0.2829355410372747</v>
      </c>
      <c r="O14" s="8">
        <f t="shared" si="4"/>
        <v>-3.4267865700108001E-2</v>
      </c>
      <c r="P14" s="8">
        <f t="shared" si="5"/>
        <v>1.0480703755452512E-2</v>
      </c>
      <c r="Q14" s="157">
        <f t="shared" si="19"/>
        <v>6.4895293342633602</v>
      </c>
      <c r="R14" s="33"/>
      <c r="S14" s="136">
        <f t="shared" si="6"/>
        <v>5.4566308572296283</v>
      </c>
      <c r="T14" s="137">
        <f t="shared" si="7"/>
        <v>4.5445521526640826</v>
      </c>
      <c r="U14" s="137">
        <f t="shared" si="8"/>
        <v>1.6431580937063641</v>
      </c>
      <c r="V14" s="137">
        <f t="shared" si="9"/>
        <v>0.72350128721975315</v>
      </c>
      <c r="W14" s="137">
        <f t="shared" si="10"/>
        <v>0.25014298579484912</v>
      </c>
      <c r="X14" s="137">
        <f t="shared" si="11"/>
        <v>0.11421903243557456</v>
      </c>
      <c r="Y14" s="138">
        <f t="shared" si="20"/>
        <v>7.2755735518206235</v>
      </c>
      <c r="AA14" s="141">
        <f t="shared" si="12"/>
        <v>6.0997099578245182</v>
      </c>
      <c r="AB14" s="142">
        <f t="shared" si="13"/>
        <v>2.8299016814171618</v>
      </c>
      <c r="AC14" s="142">
        <f t="shared" si="14"/>
        <v>0.67220139934352763</v>
      </c>
      <c r="AD14" s="142">
        <f t="shared" si="15"/>
        <v>-0.10863985350736173</v>
      </c>
      <c r="AE14" s="142">
        <f t="shared" si="16"/>
        <v>4.4337253667845515E-2</v>
      </c>
      <c r="AF14" s="143">
        <f t="shared" si="21"/>
        <v>9.5375104387456933</v>
      </c>
    </row>
    <row r="15" spans="1:32" x14ac:dyDescent="0.25">
      <c r="D15" s="1" t="s">
        <v>47</v>
      </c>
      <c r="E15" s="8">
        <f>(-4-20*S+10*POWER(S,2)-13*POWER(S,3))/(8*SINH(kd)*POWER(C_,3))</f>
        <v>-0.54616418328421723</v>
      </c>
      <c r="G15" s="147">
        <f t="shared" si="17"/>
        <v>0.21318469189800843</v>
      </c>
      <c r="H15" s="147">
        <f t="shared" si="22"/>
        <v>0.1884955592153876</v>
      </c>
      <c r="I15" s="147">
        <f t="shared" si="18"/>
        <v>0.23699999999999999</v>
      </c>
      <c r="J15" s="35"/>
      <c r="K15" s="156">
        <f t="shared" si="0"/>
        <v>3.7501011714315817</v>
      </c>
      <c r="L15" s="8">
        <f t="shared" si="1"/>
        <v>4.5170581483406247</v>
      </c>
      <c r="M15" s="8">
        <f t="shared" si="2"/>
        <v>1.4728636927338272</v>
      </c>
      <c r="N15" s="8">
        <f t="shared" si="3"/>
        <v>0.24337361873340727</v>
      </c>
      <c r="O15" s="8">
        <f t="shared" si="4"/>
        <v>-2.6518050908138704E-2</v>
      </c>
      <c r="P15" s="8">
        <f t="shared" si="5"/>
        <v>6.9567060243645598E-3</v>
      </c>
      <c r="Q15" s="157">
        <f t="shared" si="19"/>
        <v>6.2137341149240859</v>
      </c>
      <c r="R15" s="33"/>
      <c r="S15" s="136">
        <f t="shared" si="6"/>
        <v>5.4025798790077877</v>
      </c>
      <c r="T15" s="137">
        <f t="shared" si="7"/>
        <v>4.4995358237500218</v>
      </c>
      <c r="U15" s="137">
        <f t="shared" si="8"/>
        <v>1.5773243015549889</v>
      </c>
      <c r="V15" s="137">
        <f t="shared" si="9"/>
        <v>0.65700988378158642</v>
      </c>
      <c r="W15" s="137">
        <f t="shared" si="10"/>
        <v>0.20808512951748517</v>
      </c>
      <c r="X15" s="137">
        <f t="shared" si="11"/>
        <v>8.2984984572068626E-2</v>
      </c>
      <c r="Y15" s="138">
        <f t="shared" si="20"/>
        <v>7.024940123176151</v>
      </c>
      <c r="AA15" s="141">
        <f t="shared" si="12"/>
        <v>5.9353034435395484</v>
      </c>
      <c r="AB15" s="142">
        <f t="shared" si="13"/>
        <v>2.6201509776242071</v>
      </c>
      <c r="AC15" s="142">
        <f t="shared" si="14"/>
        <v>0.57820744073037944</v>
      </c>
      <c r="AD15" s="142">
        <f t="shared" si="15"/>
        <v>-8.4070499067019883E-2</v>
      </c>
      <c r="AE15" s="142">
        <f t="shared" si="16"/>
        <v>2.9429439466160483E-2</v>
      </c>
      <c r="AF15" s="143">
        <f t="shared" si="21"/>
        <v>9.0790208022932752</v>
      </c>
    </row>
    <row r="16" spans="1:32" x14ac:dyDescent="0.25">
      <c r="A16" s="53" t="s">
        <v>104</v>
      </c>
      <c r="B16" s="53">
        <f>PI()*HRMS/Lp</f>
        <v>0.39662960805173242</v>
      </c>
      <c r="D16" s="1" t="s">
        <v>48</v>
      </c>
      <c r="E16" s="8">
        <f>(-2*POWER(S,2)+11*POWER(S,3))/(8*SINH(kd)*POWER(C_,3))</f>
        <v>-8.5760980033350168E-4</v>
      </c>
      <c r="G16" s="147">
        <f t="shared" si="17"/>
        <v>0.28424625586401125</v>
      </c>
      <c r="H16" s="147">
        <f t="shared" si="22"/>
        <v>0.25132741228718347</v>
      </c>
      <c r="I16" s="147">
        <f t="shared" si="18"/>
        <v>0.316</v>
      </c>
      <c r="J16" s="35"/>
      <c r="K16" s="156">
        <f t="shared" si="0"/>
        <v>3.6977827458137642</v>
      </c>
      <c r="L16" s="8">
        <f t="shared" si="1"/>
        <v>4.3544327318394034</v>
      </c>
      <c r="M16" s="8">
        <f t="shared" si="2"/>
        <v>1.3223388964237477</v>
      </c>
      <c r="N16" s="8">
        <f t="shared" si="3"/>
        <v>0.19531766622429511</v>
      </c>
      <c r="O16" s="8">
        <f t="shared" si="4"/>
        <v>-1.7682629361858323E-2</v>
      </c>
      <c r="P16" s="8">
        <f t="shared" si="5"/>
        <v>3.2380176135117953E-3</v>
      </c>
      <c r="Q16" s="157">
        <f t="shared" si="19"/>
        <v>5.8576446827391004</v>
      </c>
      <c r="R16" s="33"/>
      <c r="S16" s="136">
        <f t="shared" si="6"/>
        <v>5.3272073862074709</v>
      </c>
      <c r="T16" s="137">
        <f t="shared" si="7"/>
        <v>4.436761882582001</v>
      </c>
      <c r="U16" s="137">
        <f t="shared" si="8"/>
        <v>1.4866151629202264</v>
      </c>
      <c r="V16" s="137">
        <f t="shared" si="9"/>
        <v>0.56724357766302624</v>
      </c>
      <c r="W16" s="137">
        <f t="shared" si="10"/>
        <v>0.15295251926896372</v>
      </c>
      <c r="X16" s="137">
        <f t="shared" si="11"/>
        <v>4.3627788228262805E-2</v>
      </c>
      <c r="Y16" s="138">
        <f t="shared" si="20"/>
        <v>6.6872009306624802</v>
      </c>
      <c r="AA16" s="141">
        <f t="shared" si="12"/>
        <v>5.7173469753063717</v>
      </c>
      <c r="AB16" s="142">
        <f t="shared" si="13"/>
        <v>2.352160269747225</v>
      </c>
      <c r="AC16" s="142">
        <f t="shared" si="14"/>
        <v>0.4640331987709902</v>
      </c>
      <c r="AD16" s="142">
        <f t="shared" si="15"/>
        <v>-5.6059436274010006E-2</v>
      </c>
      <c r="AE16" s="142">
        <f t="shared" si="16"/>
        <v>1.3698011887764231E-2</v>
      </c>
      <c r="AF16" s="143">
        <f t="shared" si="21"/>
        <v>8.4911790194383396</v>
      </c>
    </row>
    <row r="17" spans="1:32" x14ac:dyDescent="0.25">
      <c r="A17" s="53" t="s">
        <v>102</v>
      </c>
      <c r="B17" s="53">
        <f>2*PI()/Lp</f>
        <v>7.2114474191224076E-2</v>
      </c>
      <c r="D17" s="1" t="s">
        <v>49</v>
      </c>
      <c r="E17" s="8">
        <f>(12*S-14*POWER(S,2)-264*POWER(S,3)-45*POWER(S,4)-13*POWER(S,5))/(24*POWER(C_,5))</f>
        <v>5.9485859891648507E-2</v>
      </c>
      <c r="G17" s="147">
        <f t="shared" si="17"/>
        <v>0.35530781983001408</v>
      </c>
      <c r="H17" s="147">
        <f t="shared" si="22"/>
        <v>0.31415926535897931</v>
      </c>
      <c r="I17" s="147">
        <f t="shared" si="18"/>
        <v>0.39500000000000002</v>
      </c>
      <c r="J17" s="35"/>
      <c r="K17" s="156">
        <f t="shared" si="0"/>
        <v>3.6308708610544622</v>
      </c>
      <c r="L17" s="8">
        <f t="shared" si="1"/>
        <v>4.1595724616700434</v>
      </c>
      <c r="M17" s="8">
        <f t="shared" si="2"/>
        <v>1.1504675828611877</v>
      </c>
      <c r="N17" s="8">
        <f t="shared" si="3"/>
        <v>0.14403992212943242</v>
      </c>
      <c r="O17" s="8">
        <f t="shared" si="4"/>
        <v>-9.0533126765980059E-3</v>
      </c>
      <c r="P17" s="8">
        <f t="shared" si="5"/>
        <v>5.5313825835810289E-19</v>
      </c>
      <c r="Q17" s="157">
        <f t="shared" si="19"/>
        <v>5.4450266539840655</v>
      </c>
      <c r="R17" s="33"/>
      <c r="S17" s="136">
        <f t="shared" si="6"/>
        <v>5.2308108396233441</v>
      </c>
      <c r="T17" s="137">
        <f t="shared" si="7"/>
        <v>4.3564780692271254</v>
      </c>
      <c r="U17" s="137">
        <f t="shared" si="8"/>
        <v>1.3724612151053592</v>
      </c>
      <c r="V17" s="137">
        <f t="shared" si="9"/>
        <v>0.45738238501065254</v>
      </c>
      <c r="W17" s="137">
        <f t="shared" si="10"/>
        <v>8.8209339714756335E-2</v>
      </c>
      <c r="X17" s="137">
        <f t="shared" si="11"/>
        <v>8.6484753770665068E-18</v>
      </c>
      <c r="Y17" s="138">
        <f t="shared" si="20"/>
        <v>6.2745310090578945</v>
      </c>
      <c r="AA17" s="141">
        <f t="shared" si="12"/>
        <v>5.4562552872989185</v>
      </c>
      <c r="AB17" s="142">
        <f t="shared" si="13"/>
        <v>2.0461834894975346</v>
      </c>
      <c r="AC17" s="142">
        <f t="shared" si="14"/>
        <v>0.34220519158124957</v>
      </c>
      <c r="AD17" s="142">
        <f t="shared" si="15"/>
        <v>-2.8701803365188835E-2</v>
      </c>
      <c r="AE17" s="142">
        <f t="shared" si="16"/>
        <v>2.3399793171047972E-18</v>
      </c>
      <c r="AF17" s="143">
        <f t="shared" si="21"/>
        <v>7.8159421650125136</v>
      </c>
    </row>
    <row r="18" spans="1:32" x14ac:dyDescent="0.25">
      <c r="A18" s="53" t="s">
        <v>103</v>
      </c>
      <c r="B18" s="53">
        <f>dp</f>
        <v>20</v>
      </c>
      <c r="D18" s="1" t="s">
        <v>50</v>
      </c>
      <c r="E18" s="8">
        <f>(10*POWER(S,3)-174*POWER(S,4)+291*POWER(S,5)+278*POWER(S,6))/(48*(3+2*S)*POWER(C_,5))</f>
        <v>-8.694934251675973E-5</v>
      </c>
      <c r="G18" s="147">
        <f t="shared" si="17"/>
        <v>0.42636938379601691</v>
      </c>
      <c r="H18" s="147">
        <f t="shared" si="22"/>
        <v>0.37699111843077515</v>
      </c>
      <c r="I18" s="147">
        <f t="shared" si="18"/>
        <v>0.47400000000000003</v>
      </c>
      <c r="J18" s="35"/>
      <c r="K18" s="156">
        <f t="shared" si="0"/>
        <v>3.5496295877936892</v>
      </c>
      <c r="L18" s="8">
        <f t="shared" si="1"/>
        <v>3.9408017587563759</v>
      </c>
      <c r="M18" s="8">
        <f t="shared" si="2"/>
        <v>0.96846687967148604</v>
      </c>
      <c r="N18" s="8">
        <f t="shared" si="3"/>
        <v>9.4186757676854638E-2</v>
      </c>
      <c r="O18" s="8">
        <f t="shared" si="4"/>
        <v>-1.6048428150098339E-3</v>
      </c>
      <c r="P18" s="8">
        <f t="shared" si="5"/>
        <v>-2.3526022049978421E-3</v>
      </c>
      <c r="Q18" s="157">
        <f t="shared" si="19"/>
        <v>4.9994979510847077</v>
      </c>
      <c r="R18" s="33"/>
      <c r="S18" s="136">
        <f t="shared" si="6"/>
        <v>5.1137706723853826</v>
      </c>
      <c r="T18" s="137">
        <f t="shared" si="7"/>
        <v>4.2590012272185227</v>
      </c>
      <c r="U18" s="137">
        <f t="shared" si="8"/>
        <v>1.2366627340596914</v>
      </c>
      <c r="V18" s="137">
        <f t="shared" si="9"/>
        <v>0.33131819334466284</v>
      </c>
      <c r="W18" s="137">
        <f t="shared" si="10"/>
        <v>1.792364293501229E-2</v>
      </c>
      <c r="X18" s="137">
        <f t="shared" si="11"/>
        <v>-4.3627788228262784E-2</v>
      </c>
      <c r="Y18" s="138">
        <f t="shared" si="20"/>
        <v>5.8012780093296259</v>
      </c>
      <c r="AA18" s="141">
        <f t="shared" si="12"/>
        <v>5.1632457831190957</v>
      </c>
      <c r="AB18" s="142">
        <f t="shared" si="13"/>
        <v>1.7222043036411296</v>
      </c>
      <c r="AC18" s="142">
        <f t="shared" si="14"/>
        <v>0.22376299574777297</v>
      </c>
      <c r="AD18" s="142">
        <f t="shared" si="15"/>
        <v>-5.0878446790996595E-3</v>
      </c>
      <c r="AE18" s="142">
        <f t="shared" si="16"/>
        <v>-9.9523766337654522E-3</v>
      </c>
      <c r="AF18" s="143">
        <f t="shared" si="21"/>
        <v>7.0941728611951334</v>
      </c>
    </row>
    <row r="19" spans="1:32" x14ac:dyDescent="0.25">
      <c r="A19" s="53" t="s">
        <v>33</v>
      </c>
      <c r="B19" s="53">
        <f>k*dp</f>
        <v>1.4422894838244815</v>
      </c>
      <c r="D19" s="1" t="s">
        <v>51</v>
      </c>
      <c r="E19" s="8">
        <f>(-1184+32*S+13232*POWER(S,2)+21712*POWER(S,3)+20940*POWER(S,4)+12554*POWER(S,5)-500*POWER(S,6)-3341*POWER(S,7)-670*POWER(S,8))/(64*SINH(kd)*(3+2*S)*(4+S)*POWER(C_,6))</f>
        <v>-1.1788069583350771</v>
      </c>
      <c r="G19" s="147">
        <f t="shared" si="17"/>
        <v>0.49743094776201974</v>
      </c>
      <c r="H19" s="147">
        <f t="shared" si="22"/>
        <v>0.43982297150257099</v>
      </c>
      <c r="I19" s="147">
        <f t="shared" si="18"/>
        <v>0.55300000000000005</v>
      </c>
      <c r="J19" s="35"/>
      <c r="K19" s="156">
        <f t="shared" si="0"/>
        <v>3.4543795482213966</v>
      </c>
      <c r="L19" s="8">
        <f t="shared" si="1"/>
        <v>3.7062398329131421</v>
      </c>
      <c r="M19" s="8">
        <f t="shared" si="2"/>
        <v>0.78610013327114248</v>
      </c>
      <c r="N19" s="8">
        <f t="shared" si="3"/>
        <v>4.9179920669913293E-2</v>
      </c>
      <c r="O19" s="8">
        <f t="shared" si="4"/>
        <v>4.1243239103468951E-3</v>
      </c>
      <c r="P19" s="8">
        <f t="shared" si="5"/>
        <v>-3.7123103081139774E-3</v>
      </c>
      <c r="Q19" s="157">
        <f t="shared" si="19"/>
        <v>4.5419319004564311</v>
      </c>
      <c r="R19" s="33"/>
      <c r="S19" s="136">
        <f t="shared" si="6"/>
        <v>4.9765487885631075</v>
      </c>
      <c r="T19" s="137">
        <f t="shared" si="7"/>
        <v>4.1447160531186649</v>
      </c>
      <c r="U19" s="137">
        <f t="shared" si="8"/>
        <v>1.0813613429513935</v>
      </c>
      <c r="V19" s="137">
        <f t="shared" si="9"/>
        <v>0.19351688950319723</v>
      </c>
      <c r="W19" s="137">
        <f t="shared" si="10"/>
        <v>-5.3488262248886226E-2</v>
      </c>
      <c r="X19" s="137">
        <f t="shared" si="11"/>
        <v>-8.2984984572068626E-2</v>
      </c>
      <c r="Y19" s="138">
        <f t="shared" si="20"/>
        <v>5.2831210387523004</v>
      </c>
      <c r="AA19" s="141">
        <f t="shared" si="12"/>
        <v>4.8492807016081141</v>
      </c>
      <c r="AB19" s="142">
        <f t="shared" si="13"/>
        <v>1.3976196287972895</v>
      </c>
      <c r="AC19" s="142">
        <f t="shared" si="14"/>
        <v>0.11683663974579535</v>
      </c>
      <c r="AD19" s="142">
        <f t="shared" si="15"/>
        <v>1.3075359505764923E-2</v>
      </c>
      <c r="AE19" s="142">
        <f t="shared" si="16"/>
        <v>-1.5704443335383587E-2</v>
      </c>
      <c r="AF19" s="143">
        <f t="shared" si="21"/>
        <v>6.3611078863215802</v>
      </c>
    </row>
    <row r="20" spans="1:32" x14ac:dyDescent="0.25">
      <c r="A20" s="53" t="s">
        <v>93</v>
      </c>
      <c r="B20" s="53">
        <f>zaxis</f>
        <v>4</v>
      </c>
      <c r="D20" s="1" t="s">
        <v>52</v>
      </c>
      <c r="E20" s="8">
        <f>(4*S+105*POWER(S,2)+198*POWER(S,3)-1376*POWER(S,4)-1302*POWER(S,5)-117*POWER(S,6)+58*POWER(S,7))/(32*SINH(kd)*(3+2*S)*POWER(C_,6))</f>
        <v>1.7637117082082449E-2</v>
      </c>
      <c r="G20" s="147">
        <f t="shared" si="17"/>
        <v>0.56849251172802251</v>
      </c>
      <c r="H20" s="147">
        <f t="shared" si="22"/>
        <v>0.50265482457436683</v>
      </c>
      <c r="I20" s="147">
        <f t="shared" si="18"/>
        <v>0.63200000000000001</v>
      </c>
      <c r="J20" s="35"/>
      <c r="K20" s="156">
        <f t="shared" si="0"/>
        <v>3.3454966507281729</v>
      </c>
      <c r="L20" s="8">
        <f t="shared" si="1"/>
        <v>3.4631677592414749</v>
      </c>
      <c r="M20" s="8">
        <f t="shared" si="2"/>
        <v>0.61090611061610467</v>
      </c>
      <c r="N20" s="8">
        <f t="shared" si="3"/>
        <v>1.1031809007840088E-2</v>
      </c>
      <c r="O20" s="8">
        <f t="shared" si="4"/>
        <v>8.0037509582696481E-3</v>
      </c>
      <c r="P20" s="8">
        <f t="shared" si="5"/>
        <v>-4.1950343707619344E-3</v>
      </c>
      <c r="Q20" s="157">
        <f t="shared" si="19"/>
        <v>4.0889143954529281</v>
      </c>
      <c r="R20" s="33"/>
      <c r="S20" s="136">
        <f t="shared" si="6"/>
        <v>4.8196867402412495</v>
      </c>
      <c r="T20" s="137">
        <f t="shared" si="7"/>
        <v>4.0140735782977961</v>
      </c>
      <c r="U20" s="137">
        <f t="shared" si="8"/>
        <v>0.9090062374907969</v>
      </c>
      <c r="V20" s="137">
        <f t="shared" si="9"/>
        <v>4.8860153374663262E-2</v>
      </c>
      <c r="W20" s="137">
        <f t="shared" si="10"/>
        <v>-0.12153930319961917</v>
      </c>
      <c r="X20" s="137">
        <f t="shared" si="11"/>
        <v>-0.11421903243557452</v>
      </c>
      <c r="Y20" s="138">
        <f t="shared" si="20"/>
        <v>4.7361816335280622</v>
      </c>
      <c r="AA20" s="141">
        <f t="shared" si="12"/>
        <v>4.52421707635592</v>
      </c>
      <c r="AB20" s="142">
        <f t="shared" si="13"/>
        <v>1.0858663140303018</v>
      </c>
      <c r="AC20" s="142">
        <f t="shared" si="14"/>
        <v>2.6207670192261018E-2</v>
      </c>
      <c r="AD20" s="142">
        <f t="shared" si="15"/>
        <v>2.5374282151841347E-2</v>
      </c>
      <c r="AE20" s="142">
        <f t="shared" si="16"/>
        <v>-1.7746542611714392E-2</v>
      </c>
      <c r="AF20" s="143">
        <f t="shared" si="21"/>
        <v>5.6439188001186098</v>
      </c>
    </row>
    <row r="21" spans="1:32" x14ac:dyDescent="0.25">
      <c r="A21" s="1" t="s">
        <v>42</v>
      </c>
      <c r="B21" s="1">
        <f>-B20+B18</f>
        <v>16</v>
      </c>
      <c r="D21" s="1" t="s">
        <v>53</v>
      </c>
      <c r="E21" s="8">
        <f>(-6*POWER(S,3)+272*POWER(S,4)-1552*POWER(S,5)+852*POWER(S,6)+2029*POWER(S,7)+430*POWER(S,8))/(64*SINH(kd)*(3+2*S)*(4+S)*POWER(C_,6))</f>
        <v>1.0844458194250768E-5</v>
      </c>
      <c r="G21" s="147">
        <f t="shared" si="17"/>
        <v>0.63955407569402534</v>
      </c>
      <c r="H21" s="147">
        <f t="shared" si="22"/>
        <v>0.56548667764616267</v>
      </c>
      <c r="I21" s="147">
        <f t="shared" si="18"/>
        <v>0.71099999999999997</v>
      </c>
      <c r="J21" s="35"/>
      <c r="K21" s="156">
        <f t="shared" si="0"/>
        <v>3.2234106063665608</v>
      </c>
      <c r="L21" s="8">
        <f t="shared" si="1"/>
        <v>3.2176108673066643</v>
      </c>
      <c r="M21" s="8">
        <f t="shared" si="2"/>
        <v>0.44796824187847389</v>
      </c>
      <c r="N21" s="8">
        <f t="shared" si="3"/>
        <v>-1.9508118398864818E-2</v>
      </c>
      <c r="O21" s="8">
        <f t="shared" si="4"/>
        <v>1.0194837862915864E-2</v>
      </c>
      <c r="P21" s="8">
        <f t="shared" si="5"/>
        <v>-4.029828486073396E-3</v>
      </c>
      <c r="Q21" s="157">
        <f t="shared" si="19"/>
        <v>3.6522360001631156</v>
      </c>
      <c r="R21" s="33"/>
      <c r="S21" s="136">
        <f t="shared" si="6"/>
        <v>4.6438035902610837</v>
      </c>
      <c r="T21" s="137">
        <f t="shared" si="7"/>
        <v>3.8675893889191659</v>
      </c>
      <c r="U21" s="137">
        <f t="shared" si="8"/>
        <v>0.72231556065096514</v>
      </c>
      <c r="V21" s="137">
        <f t="shared" si="9"/>
        <v>-9.7527478046036994E-2</v>
      </c>
      <c r="W21" s="137">
        <f t="shared" si="10"/>
        <v>-0.1819535827400304</v>
      </c>
      <c r="X21" s="137">
        <f t="shared" si="11"/>
        <v>-0.1342725255934927</v>
      </c>
      <c r="Y21" s="138">
        <f t="shared" si="20"/>
        <v>4.1761513631905709</v>
      </c>
      <c r="AA21" s="141">
        <f t="shared" si="12"/>
        <v>4.196242042165272</v>
      </c>
      <c r="AB21" s="142">
        <f t="shared" si="13"/>
        <v>0.79600899460987418</v>
      </c>
      <c r="AC21" s="142">
        <f t="shared" si="14"/>
        <v>-4.6343052119615549E-2</v>
      </c>
      <c r="AD21" s="142">
        <f t="shared" si="15"/>
        <v>3.2320611591028191E-2</v>
      </c>
      <c r="AE21" s="142">
        <f t="shared" si="16"/>
        <v>-1.704765822201491E-2</v>
      </c>
      <c r="AF21" s="143">
        <f t="shared" si="21"/>
        <v>4.961180938024544</v>
      </c>
    </row>
    <row r="22" spans="1:32" x14ac:dyDescent="0.25">
      <c r="A22" s="1" t="s">
        <v>62</v>
      </c>
      <c r="B22" s="1">
        <f>k*B21</f>
        <v>1.1538315870595852</v>
      </c>
      <c r="D22" s="1" t="s">
        <v>54</v>
      </c>
      <c r="E22" s="8">
        <f>A_11+POWER(ep,2)*A_31+POWER(ep,4)*A_51</f>
        <v>0.38566012585283671</v>
      </c>
      <c r="G22" s="147">
        <f t="shared" si="17"/>
        <v>0.71061563966002816</v>
      </c>
      <c r="H22" s="147">
        <f t="shared" si="22"/>
        <v>0.62831853071795851</v>
      </c>
      <c r="I22" s="147">
        <f t="shared" si="18"/>
        <v>0.78999999999999992</v>
      </c>
      <c r="J22" s="35"/>
      <c r="K22" s="156">
        <f t="shared" si="0"/>
        <v>3.0886032329778459</v>
      </c>
      <c r="L22" s="8">
        <f t="shared" si="1"/>
        <v>2.9741450186571639</v>
      </c>
      <c r="M22" s="8">
        <f t="shared" si="2"/>
        <v>0.30010748331428205</v>
      </c>
      <c r="N22" s="8">
        <f t="shared" si="3"/>
        <v>-4.2624705168137822E-2</v>
      </c>
      <c r="O22" s="8">
        <f t="shared" si="4"/>
        <v>1.1013497862942857E-2</v>
      </c>
      <c r="P22" s="8">
        <f t="shared" si="5"/>
        <v>-3.4641617140723346E-3</v>
      </c>
      <c r="Q22" s="157">
        <f t="shared" si="19"/>
        <v>3.2391771329521788</v>
      </c>
      <c r="R22" s="33"/>
      <c r="S22" s="136">
        <f t="shared" si="6"/>
        <v>4.4495934690622114</v>
      </c>
      <c r="T22" s="137">
        <f t="shared" si="7"/>
        <v>3.705841591155989</v>
      </c>
      <c r="U22" s="137">
        <f t="shared" si="8"/>
        <v>0.52423353592926714</v>
      </c>
      <c r="V22" s="137">
        <f t="shared" si="9"/>
        <v>-0.24046014993535172</v>
      </c>
      <c r="W22" s="137">
        <f t="shared" si="10"/>
        <v>-0.23093504949841792</v>
      </c>
      <c r="X22" s="137">
        <f t="shared" si="11"/>
        <v>-0.14118248841462352</v>
      </c>
      <c r="Y22" s="138">
        <f t="shared" si="20"/>
        <v>3.6174974392368631</v>
      </c>
      <c r="AA22" s="141">
        <f t="shared" si="12"/>
        <v>3.8716053471952923</v>
      </c>
      <c r="AB22" s="142">
        <f t="shared" si="13"/>
        <v>0.53308191055152809</v>
      </c>
      <c r="AC22" s="142">
        <f t="shared" si="14"/>
        <v>-0.1012546189573114</v>
      </c>
      <c r="AD22" s="142">
        <f t="shared" si="15"/>
        <v>3.4915897424888737E-2</v>
      </c>
      <c r="AE22" s="142">
        <f t="shared" si="16"/>
        <v>-1.4654676212628934E-2</v>
      </c>
      <c r="AF22" s="143">
        <f t="shared" si="21"/>
        <v>4.3236938600017689</v>
      </c>
    </row>
    <row r="23" spans="1:32" x14ac:dyDescent="0.25">
      <c r="A23" s="1" t="s">
        <v>59</v>
      </c>
      <c r="B23" s="1">
        <f>SQRT(TANH(kd))</f>
        <v>0.94559910554945492</v>
      </c>
      <c r="D23" s="1" t="s">
        <v>55</v>
      </c>
      <c r="E23" s="8">
        <f>A_22+POWER(ep,2)*A_42</f>
        <v>3.2937048641126523E-2</v>
      </c>
      <c r="G23" s="147">
        <f t="shared" si="17"/>
        <v>0.78167720362603099</v>
      </c>
      <c r="H23" s="147">
        <f t="shared" si="22"/>
        <v>0.69115038378975435</v>
      </c>
      <c r="I23" s="147">
        <f t="shared" si="18"/>
        <v>0.86899999999999988</v>
      </c>
      <c r="J23" s="35"/>
      <c r="K23" s="156">
        <f t="shared" si="0"/>
        <v>2.9416065536771643</v>
      </c>
      <c r="L23" s="8">
        <f t="shared" si="1"/>
        <v>2.7358972464913429</v>
      </c>
      <c r="M23" s="8">
        <f t="shared" si="2"/>
        <v>0.1683289080142106</v>
      </c>
      <c r="N23" s="8">
        <f t="shared" si="3"/>
        <v>-5.9067661542715658E-2</v>
      </c>
      <c r="O23" s="8">
        <f t="shared" si="4"/>
        <v>1.081709763034594E-2</v>
      </c>
      <c r="P23" s="8">
        <f t="shared" si="5"/>
        <v>-2.7071224528575433E-3</v>
      </c>
      <c r="Q23" s="157">
        <f t="shared" si="19"/>
        <v>2.8532684681403264</v>
      </c>
      <c r="R23" s="33"/>
      <c r="S23" s="136">
        <f t="shared" si="6"/>
        <v>4.2378228352668419</v>
      </c>
      <c r="T23" s="137">
        <f t="shared" si="7"/>
        <v>3.5294685296704995</v>
      </c>
      <c r="U23" s="137">
        <f t="shared" si="8"/>
        <v>0.31788403518402952</v>
      </c>
      <c r="V23" s="137">
        <f t="shared" si="9"/>
        <v>-0.37487440113357312</v>
      </c>
      <c r="W23" s="137">
        <f t="shared" si="10"/>
        <v>-0.2654060177771187</v>
      </c>
      <c r="X23" s="137">
        <f t="shared" si="11"/>
        <v>-0.13427252559349276</v>
      </c>
      <c r="Y23" s="138">
        <f t="shared" si="20"/>
        <v>3.0727996203503447</v>
      </c>
      <c r="AA23" s="141">
        <f t="shared" si="12"/>
        <v>3.5546105493213118</v>
      </c>
      <c r="AB23" s="142">
        <f t="shared" si="13"/>
        <v>0.29888239566655916</v>
      </c>
      <c r="AC23" s="142">
        <f t="shared" si="14"/>
        <v>-0.14030840422102661</v>
      </c>
      <c r="AD23" s="142">
        <f t="shared" si="15"/>
        <v>3.429311463417422E-2</v>
      </c>
      <c r="AE23" s="142">
        <f t="shared" si="16"/>
        <v>-1.145211839210495E-2</v>
      </c>
      <c r="AF23" s="143">
        <f t="shared" si="21"/>
        <v>3.7360255370089139</v>
      </c>
    </row>
    <row r="24" spans="1:32" x14ac:dyDescent="0.25">
      <c r="A24" s="1" t="s">
        <v>60</v>
      </c>
      <c r="B24" s="1">
        <f>C_o*(2+7*POWER(S,2))/4/POWER(C_,2)</f>
        <v>0.62480024162085024</v>
      </c>
      <c r="D24" s="1" t="s">
        <v>56</v>
      </c>
      <c r="E24" s="8">
        <f>A_33+POWER(ep,2)*A_53</f>
        <v>1.9169740844466308E-3</v>
      </c>
      <c r="G24" s="147">
        <f t="shared" si="17"/>
        <v>0.85273876759203382</v>
      </c>
      <c r="H24" s="147">
        <f t="shared" si="22"/>
        <v>0.75398223686155019</v>
      </c>
      <c r="I24" s="147">
        <f t="shared" si="18"/>
        <v>0.94799999999999984</v>
      </c>
      <c r="J24" s="35"/>
      <c r="K24" s="156">
        <f t="shared" si="0"/>
        <v>2.7830006972013197</v>
      </c>
      <c r="L24" s="8">
        <f t="shared" si="1"/>
        <v>2.5046899058017398</v>
      </c>
      <c r="M24" s="8">
        <f t="shared" si="2"/>
        <v>5.2360862741732066E-2</v>
      </c>
      <c r="N24" s="8">
        <f t="shared" si="3"/>
        <v>-6.983505236828888E-2</v>
      </c>
      <c r="O24" s="8">
        <f t="shared" si="4"/>
        <v>9.9331178725227294E-3</v>
      </c>
      <c r="P24" s="8">
        <f t="shared" si="5"/>
        <v>-1.908735086039079E-3</v>
      </c>
      <c r="Q24" s="157">
        <f t="shared" si="19"/>
        <v>2.4952400989616668</v>
      </c>
      <c r="R24" s="33"/>
      <c r="S24" s="136">
        <f t="shared" si="6"/>
        <v>4.0093274508177643</v>
      </c>
      <c r="T24" s="137">
        <f t="shared" si="7"/>
        <v>3.3391662683591909</v>
      </c>
      <c r="U24" s="137">
        <f t="shared" si="8"/>
        <v>0.10652131330922184</v>
      </c>
      <c r="V24" s="137">
        <f t="shared" si="9"/>
        <v>-0.49600853978077036</v>
      </c>
      <c r="W24" s="137">
        <f t="shared" si="10"/>
        <v>-0.28320054986382875</v>
      </c>
      <c r="X24" s="137">
        <f t="shared" si="11"/>
        <v>-0.11421903243557463</v>
      </c>
      <c r="Y24" s="138">
        <f t="shared" si="20"/>
        <v>2.5522594595882393</v>
      </c>
      <c r="AA24" s="141">
        <f t="shared" si="12"/>
        <v>3.2477982654094522</v>
      </c>
      <c r="AB24" s="142">
        <f t="shared" si="13"/>
        <v>9.292938057336074E-2</v>
      </c>
      <c r="AC24" s="142">
        <f t="shared" si="14"/>
        <v>-0.1658761146718713</v>
      </c>
      <c r="AD24" s="142">
        <f t="shared" si="15"/>
        <v>3.1490495244653464E-2</v>
      </c>
      <c r="AE24" s="142">
        <f t="shared" si="16"/>
        <v>-8.0746440435219124E-3</v>
      </c>
      <c r="AF24" s="143">
        <f t="shared" si="21"/>
        <v>3.1982673825120731</v>
      </c>
    </row>
    <row r="25" spans="1:32" x14ac:dyDescent="0.25">
      <c r="A25" s="1" t="s">
        <v>61</v>
      </c>
      <c r="B25" s="1">
        <f>C_o*(4+32*S-116*POWER(S,2)-400*POWER(S,3)-71*POWER(S,4)+146*POWER(S,5))/(32*POWER(C_,5))</f>
        <v>0.29676617644381309</v>
      </c>
      <c r="C25" s="32"/>
      <c r="D25" s="31" t="s">
        <v>57</v>
      </c>
      <c r="E25" s="8">
        <f>A_44</f>
        <v>-8.694934251675973E-5</v>
      </c>
      <c r="G25" s="147">
        <f t="shared" si="17"/>
        <v>0.92380033155803665</v>
      </c>
      <c r="H25" s="147">
        <f t="shared" si="22"/>
        <v>0.81681408993334603</v>
      </c>
      <c r="I25" s="147">
        <f t="shared" si="18"/>
        <v>1.0269999999999999</v>
      </c>
      <c r="J25" s="35"/>
      <c r="K25" s="156">
        <f t="shared" si="0"/>
        <v>2.6134116084056997</v>
      </c>
      <c r="L25" s="8">
        <f t="shared" si="1"/>
        <v>2.2812720991662334</v>
      </c>
      <c r="M25" s="8">
        <f t="shared" si="2"/>
        <v>-4.8831087242215285E-2</v>
      </c>
      <c r="N25" s="8">
        <f t="shared" si="3"/>
        <v>-7.5949972164556304E-2</v>
      </c>
      <c r="O25" s="8">
        <f t="shared" si="4"/>
        <v>8.6267563465328885E-3</v>
      </c>
      <c r="P25" s="8">
        <f t="shared" si="5"/>
        <v>-1.1626672379393779E-3</v>
      </c>
      <c r="Q25" s="157">
        <f t="shared" si="19"/>
        <v>2.1639551288680554</v>
      </c>
      <c r="R25" s="33"/>
      <c r="S25" s="136">
        <f t="shared" si="6"/>
        <v>3.7650090826077887</v>
      </c>
      <c r="T25" s="137">
        <f t="shared" si="7"/>
        <v>3.1356858433066268</v>
      </c>
      <c r="U25" s="137">
        <f t="shared" si="8"/>
        <v>-0.1065213133092205</v>
      </c>
      <c r="V25" s="137">
        <f t="shared" si="9"/>
        <v>-0.59957132862483542</v>
      </c>
      <c r="W25" s="137">
        <f t="shared" si="10"/>
        <v>-0.28320054986382875</v>
      </c>
      <c r="X25" s="137">
        <f t="shared" si="11"/>
        <v>-8.2984984572068779E-2</v>
      </c>
      <c r="Y25" s="138">
        <f t="shared" si="20"/>
        <v>2.0634076669366732</v>
      </c>
      <c r="AA25" s="141">
        <f t="shared" si="12"/>
        <v>2.9522477622783447</v>
      </c>
      <c r="AB25" s="142">
        <f t="shared" si="13"/>
        <v>-8.6622480492676041E-2</v>
      </c>
      <c r="AC25" s="142">
        <f t="shared" si="14"/>
        <v>-0.18038920501957217</v>
      </c>
      <c r="AD25" s="142">
        <f t="shared" si="15"/>
        <v>2.734881855460795E-2</v>
      </c>
      <c r="AE25" s="142">
        <f t="shared" si="16"/>
        <v>-4.9185024986690314E-3</v>
      </c>
      <c r="AF25" s="143">
        <f t="shared" si="21"/>
        <v>2.7076663928220355</v>
      </c>
    </row>
    <row r="26" spans="1:32" x14ac:dyDescent="0.25">
      <c r="D26" s="1" t="s">
        <v>58</v>
      </c>
      <c r="E26" s="8">
        <f>A_55</f>
        <v>1.0844458194250768E-5</v>
      </c>
      <c r="G26" s="147">
        <f t="shared" si="17"/>
        <v>0.99486189552403947</v>
      </c>
      <c r="H26" s="147">
        <f t="shared" si="22"/>
        <v>0.87964594300514187</v>
      </c>
      <c r="I26" s="147">
        <f t="shared" si="18"/>
        <v>1.1059999999999999</v>
      </c>
      <c r="J26" s="35"/>
      <c r="K26" s="156">
        <f t="shared" si="0"/>
        <v>2.4335085779458954</v>
      </c>
      <c r="L26" s="8">
        <f t="shared" si="1"/>
        <v>2.0655881584174631</v>
      </c>
      <c r="M26" s="8">
        <f t="shared" si="2"/>
        <v>-0.13662194337692191</v>
      </c>
      <c r="N26" s="8">
        <f t="shared" si="3"/>
        <v>-7.8331504142474848E-2</v>
      </c>
      <c r="O26" s="8">
        <f t="shared" si="4"/>
        <v>7.095691110929757E-3</v>
      </c>
      <c r="P26" s="8">
        <f t="shared" si="5"/>
        <v>-5.1925152256189998E-4</v>
      </c>
      <c r="Q26" s="157">
        <f t="shared" si="19"/>
        <v>1.8572111504864344</v>
      </c>
      <c r="R26" s="33"/>
      <c r="S26" s="136">
        <f t="shared" si="6"/>
        <v>3.5058319436177943</v>
      </c>
      <c r="T26" s="137">
        <f t="shared" si="7"/>
        <v>2.919830298789126</v>
      </c>
      <c r="U26" s="137">
        <f t="shared" si="8"/>
        <v>-0.31788403518402825</v>
      </c>
      <c r="V26" s="137">
        <f t="shared" si="9"/>
        <v>-0.68189400424050328</v>
      </c>
      <c r="W26" s="137">
        <f t="shared" si="10"/>
        <v>-0.26540601777711892</v>
      </c>
      <c r="X26" s="137">
        <f t="shared" si="11"/>
        <v>-4.3627788228262944E-2</v>
      </c>
      <c r="Y26" s="138">
        <f t="shared" si="20"/>
        <v>1.6110184533592125</v>
      </c>
      <c r="AA26" s="141">
        <f t="shared" si="12"/>
        <v>2.6679309950208503</v>
      </c>
      <c r="AB26" s="142">
        <f t="shared" si="13"/>
        <v>-0.24223125718782976</v>
      </c>
      <c r="AC26" s="142">
        <f t="shared" si="14"/>
        <v>-0.1860322529873055</v>
      </c>
      <c r="AD26" s="142">
        <f t="shared" si="15"/>
        <v>2.2494806633919784E-2</v>
      </c>
      <c r="AE26" s="142">
        <f t="shared" si="16"/>
        <v>-2.1966197894666365E-3</v>
      </c>
      <c r="AF26" s="143">
        <f t="shared" si="21"/>
        <v>2.2599656716901686</v>
      </c>
    </row>
    <row r="27" spans="1:32" x14ac:dyDescent="0.25">
      <c r="D27" s="1"/>
      <c r="E27" s="8"/>
      <c r="G27" s="147">
        <f t="shared" si="17"/>
        <v>1.0659234594900422</v>
      </c>
      <c r="H27" s="147">
        <f t="shared" si="22"/>
        <v>0.94247779607693771</v>
      </c>
      <c r="I27" s="147">
        <f t="shared" si="18"/>
        <v>1.1849999999999998</v>
      </c>
      <c r="J27" s="35"/>
      <c r="K27" s="156">
        <f t="shared" si="0"/>
        <v>2.2440016008932555</v>
      </c>
      <c r="L27" s="8">
        <f t="shared" si="1"/>
        <v>1.8570448054441593</v>
      </c>
      <c r="M27" s="8">
        <f t="shared" si="2"/>
        <v>-0.21242101034863203</v>
      </c>
      <c r="N27" s="8">
        <f t="shared" si="3"/>
        <v>-7.7740890071808927E-2</v>
      </c>
      <c r="O27" s="8">
        <f t="shared" si="4"/>
        <v>5.4794854018797145E-3</v>
      </c>
      <c r="P27" s="8">
        <f t="shared" si="5"/>
        <v>-1.5515740374371304E-18</v>
      </c>
      <c r="Q27" s="157">
        <f t="shared" si="19"/>
        <v>1.5723623904255983</v>
      </c>
      <c r="R27" s="33"/>
      <c r="S27" s="136">
        <f t="shared" si="6"/>
        <v>3.2328188876086035</v>
      </c>
      <c r="T27" s="137">
        <f t="shared" si="7"/>
        <v>2.6924515180258823</v>
      </c>
      <c r="U27" s="137">
        <f t="shared" si="8"/>
        <v>-0.52423353592926591</v>
      </c>
      <c r="V27" s="137">
        <f t="shared" si="9"/>
        <v>-0.74006024480272603</v>
      </c>
      <c r="W27" s="137">
        <f t="shared" si="10"/>
        <v>-0.23093504949841823</v>
      </c>
      <c r="X27" s="137">
        <f t="shared" si="11"/>
        <v>-1.5134066558063107E-16</v>
      </c>
      <c r="Y27" s="138">
        <f t="shared" si="20"/>
        <v>1.1972226877954719</v>
      </c>
      <c r="AA27" s="141">
        <f t="shared" si="12"/>
        <v>2.3940685041925542</v>
      </c>
      <c r="AB27" s="142">
        <f t="shared" si="13"/>
        <v>-0.37642181740248892</v>
      </c>
      <c r="AC27" s="142">
        <f t="shared" si="14"/>
        <v>-0.18461498124868633</v>
      </c>
      <c r="AD27" s="142">
        <f t="shared" si="15"/>
        <v>1.737093751117726E-2</v>
      </c>
      <c r="AE27" s="142">
        <f t="shared" si="16"/>
        <v>-6.5637069395972529E-18</v>
      </c>
      <c r="AF27" s="143">
        <f t="shared" si="21"/>
        <v>1.8504026430525562</v>
      </c>
    </row>
    <row r="28" spans="1:32" x14ac:dyDescent="0.25">
      <c r="D28" s="1" t="s">
        <v>69</v>
      </c>
      <c r="E28" s="8">
        <f>_xlfn.COTH(kd)*(1+2*S)/(2*C_)</f>
        <v>0.76951222774635419</v>
      </c>
      <c r="G28" s="147">
        <f t="shared" si="17"/>
        <v>1.136985023456045</v>
      </c>
      <c r="H28" s="147">
        <f t="shared" si="22"/>
        <v>1.0053096491487337</v>
      </c>
      <c r="I28" s="147">
        <f t="shared" si="18"/>
        <v>1.2639999999999998</v>
      </c>
      <c r="J28" s="35"/>
      <c r="K28" s="156">
        <f t="shared" si="0"/>
        <v>2.0456385747087036</v>
      </c>
      <c r="L28" s="8">
        <f t="shared" si="1"/>
        <v>1.6547515978603438</v>
      </c>
      <c r="M28" s="8">
        <f t="shared" si="2"/>
        <v>-0.27747846594384373</v>
      </c>
      <c r="N28" s="8">
        <f t="shared" si="3"/>
        <v>-7.4778389879327167E-2</v>
      </c>
      <c r="O28" s="8">
        <f t="shared" si="4"/>
        <v>3.8742163014642101E-3</v>
      </c>
      <c r="P28" s="8">
        <f t="shared" si="5"/>
        <v>3.9065270062348876E-4</v>
      </c>
      <c r="Q28" s="157">
        <f t="shared" si="19"/>
        <v>1.3067596110392605</v>
      </c>
      <c r="R28" s="33"/>
      <c r="S28" s="136">
        <f t="shared" si="6"/>
        <v>2.9470473723844823</v>
      </c>
      <c r="T28" s="137">
        <f t="shared" si="7"/>
        <v>2.4544468611850827</v>
      </c>
      <c r="U28" s="137">
        <f t="shared" si="8"/>
        <v>-0.72231556065096436</v>
      </c>
      <c r="V28" s="137">
        <f t="shared" si="9"/>
        <v>-0.772009482241237</v>
      </c>
      <c r="W28" s="137">
        <f t="shared" si="10"/>
        <v>-0.18195358274003062</v>
      </c>
      <c r="X28" s="137">
        <f t="shared" si="11"/>
        <v>4.3627788228262653E-2</v>
      </c>
      <c r="Y28" s="138">
        <f t="shared" si="20"/>
        <v>0.82179602378111338</v>
      </c>
      <c r="AA28" s="141">
        <f t="shared" si="12"/>
        <v>2.1294532423298218</v>
      </c>
      <c r="AB28" s="142">
        <f t="shared" si="13"/>
        <v>-0.49144010322790893</v>
      </c>
      <c r="AC28" s="142">
        <f t="shared" si="14"/>
        <v>-0.17756468270895501</v>
      </c>
      <c r="AD28" s="142">
        <f t="shared" si="15"/>
        <v>1.228181928921125E-2</v>
      </c>
      <c r="AE28" s="142">
        <f t="shared" si="16"/>
        <v>1.6525970951449817E-3</v>
      </c>
      <c r="AF28" s="143">
        <f t="shared" si="21"/>
        <v>1.4743828727773143</v>
      </c>
    </row>
    <row r="29" spans="1:32" x14ac:dyDescent="0.25">
      <c r="D29" s="1" t="s">
        <v>70</v>
      </c>
      <c r="E29" s="8">
        <f>-3*(1+3*S+3*POWER(S,2)+2*POWER(S,3))/(8*POWER(C_,3))</f>
        <v>-0.73448656662432554</v>
      </c>
      <c r="G29" s="147">
        <f t="shared" si="17"/>
        <v>1.2080465874220478</v>
      </c>
      <c r="H29" s="147">
        <f t="shared" si="22"/>
        <v>1.0681415022205296</v>
      </c>
      <c r="I29" s="147">
        <f t="shared" si="18"/>
        <v>1.3429999999999997</v>
      </c>
      <c r="J29" s="35"/>
      <c r="K29" s="156">
        <f t="shared" si="0"/>
        <v>1.8392023476331441</v>
      </c>
      <c r="L29" s="8">
        <f t="shared" si="1"/>
        <v>1.4577204398783434</v>
      </c>
      <c r="M29" s="8">
        <f t="shared" si="2"/>
        <v>-0.33278792381519395</v>
      </c>
      <c r="N29" s="8">
        <f t="shared" si="3"/>
        <v>-6.9908920536628658E-2</v>
      </c>
      <c r="O29" s="8">
        <f t="shared" si="4"/>
        <v>2.3466636824678393E-3</v>
      </c>
      <c r="P29" s="8">
        <f t="shared" si="5"/>
        <v>6.5752037606902432E-4</v>
      </c>
      <c r="Q29" s="157">
        <f t="shared" si="19"/>
        <v>1.0580277795850577</v>
      </c>
      <c r="R29" s="33"/>
      <c r="S29" s="136">
        <f t="shared" si="6"/>
        <v>2.6496452075594341</v>
      </c>
      <c r="T29" s="137">
        <f t="shared" si="7"/>
        <v>2.2067556239132937</v>
      </c>
      <c r="U29" s="137">
        <f t="shared" si="8"/>
        <v>-0.90900623749079634</v>
      </c>
      <c r="V29" s="137">
        <f t="shared" si="9"/>
        <v>-0.77660989889171994</v>
      </c>
      <c r="W29" s="137">
        <f t="shared" si="10"/>
        <v>-0.12153930319961936</v>
      </c>
      <c r="X29" s="137">
        <f t="shared" si="11"/>
        <v>8.2984984572068612E-2</v>
      </c>
      <c r="Y29" s="138">
        <f t="shared" si="20"/>
        <v>0.48258516890322667</v>
      </c>
      <c r="AA29" s="141">
        <f t="shared" si="12"/>
        <v>1.8727226561541885</v>
      </c>
      <c r="AB29" s="142">
        <f t="shared" si="13"/>
        <v>-0.58907791707065804</v>
      </c>
      <c r="AC29" s="142">
        <f t="shared" si="14"/>
        <v>-0.16598701663120927</v>
      </c>
      <c r="AD29" s="142">
        <f t="shared" si="15"/>
        <v>7.4391708907683438E-3</v>
      </c>
      <c r="AE29" s="142">
        <f t="shared" si="16"/>
        <v>2.7815364626804389E-3</v>
      </c>
      <c r="AF29" s="143">
        <f t="shared" si="21"/>
        <v>1.1278784298057702</v>
      </c>
    </row>
    <row r="30" spans="1:32" x14ac:dyDescent="0.25">
      <c r="A30" s="33"/>
      <c r="B30" s="33"/>
      <c r="D30" s="1" t="s">
        <v>71</v>
      </c>
      <c r="E30" s="8">
        <f>_xlfn.COTH(kd)*(6-26*S-182*POWER(S,2)-204*POWER(S,3)-25*POWER(S,4)+26*POWER(S,5))/(6*(3+2*S)*POWER(C_,4))</f>
        <v>5.1847964903276894E-2</v>
      </c>
      <c r="G30" s="147">
        <f t="shared" si="17"/>
        <v>1.2791081513880507</v>
      </c>
      <c r="H30" s="147">
        <f t="shared" si="22"/>
        <v>1.1309733552923256</v>
      </c>
      <c r="I30" s="147">
        <f t="shared" si="18"/>
        <v>1.4219999999999997</v>
      </c>
      <c r="J30" s="35"/>
      <c r="K30" s="156">
        <f t="shared" si="0"/>
        <v>1.6255076291431034</v>
      </c>
      <c r="L30" s="8">
        <f t="shared" si="1"/>
        <v>1.2650181239937783</v>
      </c>
      <c r="M30" s="8">
        <f t="shared" si="2"/>
        <v>-0.37906360127825478</v>
      </c>
      <c r="N30" s="8">
        <f t="shared" si="3"/>
        <v>-6.3499930639221519E-2</v>
      </c>
      <c r="O30" s="8">
        <f t="shared" si="4"/>
        <v>9.4535397273364126E-4</v>
      </c>
      <c r="P30" s="8">
        <f t="shared" si="5"/>
        <v>8.102955314447176E-4</v>
      </c>
      <c r="Q30" s="157">
        <f t="shared" si="19"/>
        <v>0.8242102415804804</v>
      </c>
      <c r="R30" s="33"/>
      <c r="S30" s="136">
        <f t="shared" si="6"/>
        <v>2.3417861036078995</v>
      </c>
      <c r="T30" s="137">
        <f t="shared" si="7"/>
        <v>1.9503553303646646</v>
      </c>
      <c r="U30" s="137">
        <f t="shared" si="8"/>
        <v>-1.0813613429513933</v>
      </c>
      <c r="V30" s="137">
        <f t="shared" si="9"/>
        <v>-0.75369852270082793</v>
      </c>
      <c r="W30" s="137">
        <f t="shared" si="10"/>
        <v>-5.3488262248886302E-2</v>
      </c>
      <c r="X30" s="137">
        <f t="shared" si="11"/>
        <v>0.11421903243557453</v>
      </c>
      <c r="Y30" s="138">
        <f t="shared" si="20"/>
        <v>0.17602623489913158</v>
      </c>
      <c r="AA30" s="141">
        <f t="shared" si="12"/>
        <v>1.6225697971139801</v>
      </c>
      <c r="AB30" s="142">
        <f t="shared" si="13"/>
        <v>-0.67063050491223031</v>
      </c>
      <c r="AC30" s="142">
        <f t="shared" si="14"/>
        <v>-0.1507558938238317</v>
      </c>
      <c r="AD30" s="142">
        <f t="shared" si="15"/>
        <v>2.9968328809231201E-3</v>
      </c>
      <c r="AE30" s="142">
        <f t="shared" si="16"/>
        <v>3.4278222000452786E-3</v>
      </c>
      <c r="AF30" s="143">
        <f t="shared" si="21"/>
        <v>0.80760805345888642</v>
      </c>
    </row>
    <row r="31" spans="1:32" x14ac:dyDescent="0.25">
      <c r="D31" s="1" t="s">
        <v>72</v>
      </c>
      <c r="E31" s="8">
        <f>_xlfn.COTH(kd)*(24+92*S+122*POWER(S,2)+66*POWER(S,3)+67*POWER(S,4)+34*POWER(S,5))/(24*(3+2*S)*POWER(C_,4))</f>
        <v>0.83179082438379104</v>
      </c>
      <c r="G31" s="147">
        <f t="shared" si="17"/>
        <v>1.3501697153540535</v>
      </c>
      <c r="H31" s="147">
        <f t="shared" si="22"/>
        <v>1.1938052083641215</v>
      </c>
      <c r="I31" s="147">
        <f t="shared" si="18"/>
        <v>1.5009999999999997</v>
      </c>
      <c r="J31" s="35"/>
      <c r="K31" s="156">
        <f t="shared" si="0"/>
        <v>1.4053977746646309</v>
      </c>
      <c r="L31" s="8">
        <f t="shared" si="1"/>
        <v>1.0758712015492802</v>
      </c>
      <c r="M31" s="8">
        <f t="shared" si="2"/>
        <v>-0.41677082174004715</v>
      </c>
      <c r="N31" s="8">
        <f t="shared" si="3"/>
        <v>-5.5860184289710679E-2</v>
      </c>
      <c r="O31" s="8">
        <f t="shared" si="4"/>
        <v>-2.9234924595825974E-4</v>
      </c>
      <c r="P31" s="8">
        <f t="shared" si="5"/>
        <v>8.6160705351737187E-4</v>
      </c>
      <c r="Q31" s="157">
        <f t="shared" si="19"/>
        <v>0.60380945332708147</v>
      </c>
      <c r="R31" s="33"/>
      <c r="S31" s="136">
        <f t="shared" si="6"/>
        <v>2.0246850397657283</v>
      </c>
      <c r="T31" s="137">
        <f t="shared" si="7"/>
        <v>1.6862578753596804</v>
      </c>
      <c r="U31" s="137">
        <f t="shared" si="8"/>
        <v>-1.2366627340596916</v>
      </c>
      <c r="V31" s="137">
        <f t="shared" si="9"/>
        <v>-0.70408700059242091</v>
      </c>
      <c r="W31" s="137">
        <f t="shared" si="10"/>
        <v>1.7923642935012345E-2</v>
      </c>
      <c r="X31" s="137">
        <f t="shared" si="11"/>
        <v>0.13427252559349273</v>
      </c>
      <c r="Y31" s="138">
        <f t="shared" si="20"/>
        <v>-0.10229569076392706</v>
      </c>
      <c r="AA31" s="141">
        <f t="shared" si="12"/>
        <v>1.3778911573266943</v>
      </c>
      <c r="AB31" s="142">
        <f t="shared" si="13"/>
        <v>-0.73694939739370713</v>
      </c>
      <c r="AC31" s="142">
        <f t="shared" si="14"/>
        <v>-0.13260555626396797</v>
      </c>
      <c r="AD31" s="142">
        <f t="shared" si="15"/>
        <v>-9.2675304112009203E-4</v>
      </c>
      <c r="AE31" s="142">
        <f t="shared" si="16"/>
        <v>3.644880601124916E-3</v>
      </c>
      <c r="AF31" s="143">
        <f t="shared" si="21"/>
        <v>0.51105433122902399</v>
      </c>
    </row>
    <row r="32" spans="1:32" x14ac:dyDescent="0.25">
      <c r="D32" s="1" t="s">
        <v>73</v>
      </c>
      <c r="E32" s="8">
        <f>9*(132+17*S-2216*POWER(S,2)-5897*POWER(S,3)-6292*POWER(S,4)-2687*POWER(S,5)+194*POWER(S,6)+497*POWER(S,7)+82*POWER(S,8))/(128*(3+2*S)*(4+S)*POWER(C_,6))</f>
        <v>1.047970234475049</v>
      </c>
      <c r="G32" s="147">
        <f t="shared" si="17"/>
        <v>1.4212312793200563</v>
      </c>
      <c r="H32" s="147">
        <f t="shared" si="22"/>
        <v>1.2566370614359175</v>
      </c>
      <c r="I32" s="147">
        <f t="shared" si="18"/>
        <v>1.5799999999999996</v>
      </c>
      <c r="J32" s="35"/>
      <c r="K32" s="156">
        <f t="shared" si="0"/>
        <v>1.1797414572347265</v>
      </c>
      <c r="L32" s="8">
        <f t="shared" si="1"/>
        <v>0.88972580055446271</v>
      </c>
      <c r="M32" s="8">
        <f t="shared" si="2"/>
        <v>-0.44619026574772797</v>
      </c>
      <c r="N32" s="8">
        <f t="shared" si="3"/>
        <v>-4.7272243055453987E-2</v>
      </c>
      <c r="O32" s="8">
        <f t="shared" si="4"/>
        <v>-1.336832654309533E-3</v>
      </c>
      <c r="P32" s="8">
        <f t="shared" si="5"/>
        <v>8.264248725147193E-4</v>
      </c>
      <c r="Q32" s="157">
        <f t="shared" si="19"/>
        <v>0.39575288396948599</v>
      </c>
      <c r="R32" s="33"/>
      <c r="S32" s="136">
        <f t="shared" si="6"/>
        <v>1.6995934690622101</v>
      </c>
      <c r="T32" s="137">
        <f t="shared" si="7"/>
        <v>1.4155055308985953</v>
      </c>
      <c r="U32" s="137">
        <f t="shared" si="8"/>
        <v>-1.3724612151053597</v>
      </c>
      <c r="V32" s="137">
        <f t="shared" si="9"/>
        <v>-0.62953284547064725</v>
      </c>
      <c r="W32" s="137">
        <f t="shared" si="10"/>
        <v>8.8209339714756516E-2</v>
      </c>
      <c r="X32" s="137">
        <f t="shared" si="11"/>
        <v>0.14118248841462352</v>
      </c>
      <c r="Y32" s="138">
        <f t="shared" si="20"/>
        <v>-0.35709670154803153</v>
      </c>
      <c r="AA32" s="141">
        <f t="shared" si="12"/>
        <v>1.1378734661296463</v>
      </c>
      <c r="AB32" s="142">
        <f t="shared" si="13"/>
        <v>-0.78855584515066413</v>
      </c>
      <c r="AC32" s="142">
        <f t="shared" si="14"/>
        <v>-0.11220772141714853</v>
      </c>
      <c r="AD32" s="142">
        <f t="shared" si="15"/>
        <v>-4.237723830720643E-3</v>
      </c>
      <c r="AE32" s="142">
        <f t="shared" si="16"/>
        <v>3.4960414414103667E-3</v>
      </c>
      <c r="AF32" s="143">
        <f t="shared" si="21"/>
        <v>0.23636821717252343</v>
      </c>
    </row>
    <row r="33" spans="4:32" x14ac:dyDescent="0.25">
      <c r="D33" s="1" t="s">
        <v>74</v>
      </c>
      <c r="E33" s="8">
        <f>5*(300+1579*S+3176*POWER(S,2)+2949*POWER(S,3)+1188*POWER(S,4)+675*POWER(S,5)+1326*POWER(S,6)+827*POWER(S,7)+130*POWER(S,8))/(384*(3+2*S)*(4+S)*POWER(C_,6))</f>
        <v>1.0372360907212914</v>
      </c>
      <c r="G33" s="147">
        <f t="shared" si="17"/>
        <v>1.4922928432860592</v>
      </c>
      <c r="H33" s="147">
        <f t="shared" si="22"/>
        <v>1.3194689145077134</v>
      </c>
      <c r="I33" s="147">
        <f t="shared" si="18"/>
        <v>1.6589999999999996</v>
      </c>
      <c r="J33" s="35"/>
      <c r="K33" s="156">
        <f t="shared" si="0"/>
        <v>0.9494292392457202</v>
      </c>
      <c r="L33" s="8">
        <f t="shared" si="1"/>
        <v>0.70626728484551948</v>
      </c>
      <c r="M33" s="8">
        <f t="shared" si="2"/>
        <v>-0.46749825053403021</v>
      </c>
      <c r="N33" s="8">
        <f t="shared" si="3"/>
        <v>-3.8014571970500538E-2</v>
      </c>
      <c r="O33" s="8">
        <f t="shared" si="4"/>
        <v>-2.1656399457428092E-3</v>
      </c>
      <c r="P33" s="8">
        <f t="shared" si="5"/>
        <v>7.219134398098394E-4</v>
      </c>
      <c r="Q33" s="157">
        <f t="shared" si="19"/>
        <v>0.19931073583505576</v>
      </c>
      <c r="R33" s="33"/>
      <c r="S33" s="136">
        <f t="shared" si="6"/>
        <v>1.3677943794067</v>
      </c>
      <c r="T33" s="137">
        <f t="shared" si="7"/>
        <v>1.1391668327900171</v>
      </c>
      <c r="U33" s="137">
        <f t="shared" si="8"/>
        <v>-1.4866151629202267</v>
      </c>
      <c r="V33" s="137">
        <f t="shared" si="9"/>
        <v>-0.53267717544912041</v>
      </c>
      <c r="W33" s="137">
        <f t="shared" si="10"/>
        <v>0.152952519268964</v>
      </c>
      <c r="X33" s="137">
        <f t="shared" si="11"/>
        <v>0.13427252559349265</v>
      </c>
      <c r="Y33" s="138">
        <f t="shared" si="20"/>
        <v>-0.5929004607168733</v>
      </c>
      <c r="AA33" s="141">
        <f t="shared" si="12"/>
        <v>0.90202505814420775</v>
      </c>
      <c r="AB33" s="142">
        <f t="shared" si="13"/>
        <v>-0.82578334582340163</v>
      </c>
      <c r="AC33" s="142">
        <f t="shared" si="14"/>
        <v>-9.0224104165113714E-2</v>
      </c>
      <c r="AD33" s="142">
        <f t="shared" si="15"/>
        <v>-6.8649123660984987E-3</v>
      </c>
      <c r="AE33" s="142">
        <f t="shared" si="16"/>
        <v>3.0539179250715556E-3</v>
      </c>
      <c r="AF33" s="143">
        <f t="shared" si="21"/>
        <v>-1.7793386285334535E-2</v>
      </c>
    </row>
    <row r="34" spans="4:32" x14ac:dyDescent="0.25">
      <c r="D34" s="1" t="s">
        <v>75</v>
      </c>
      <c r="E34" s="8">
        <f>1+POWER(ep,2)*b_31-POWER(ep,4)*(b_53+b_55)</f>
        <v>0.83284947645723373</v>
      </c>
      <c r="G34" s="147">
        <f t="shared" si="17"/>
        <v>1.563354407252062</v>
      </c>
      <c r="H34" s="147">
        <f t="shared" si="22"/>
        <v>1.3823007675795094</v>
      </c>
      <c r="I34" s="147">
        <f t="shared" si="18"/>
        <v>1.7379999999999995</v>
      </c>
      <c r="J34" s="35"/>
      <c r="K34" s="156">
        <f t="shared" si="0"/>
        <v>0.71537005780237128</v>
      </c>
      <c r="L34" s="8">
        <f t="shared" si="1"/>
        <v>0.52540655657111035</v>
      </c>
      <c r="M34" s="8">
        <f t="shared" si="2"/>
        <v>-0.48084730442526324</v>
      </c>
      <c r="N34" s="8">
        <f t="shared" si="3"/>
        <v>-2.8371784565142669E-2</v>
      </c>
      <c r="O34" s="8">
        <f t="shared" si="4"/>
        <v>-2.7645575793802061E-3</v>
      </c>
      <c r="P34" s="8">
        <f t="shared" si="5"/>
        <v>5.6711497691562854E-4</v>
      </c>
      <c r="Q34" s="157">
        <f t="shared" si="19"/>
        <v>1.3990024978239859E-2</v>
      </c>
      <c r="R34" s="33"/>
      <c r="S34" s="136">
        <f t="shared" si="6"/>
        <v>1.0305972302214836</v>
      </c>
      <c r="T34" s="137">
        <f t="shared" si="7"/>
        <v>0.85833236362823795</v>
      </c>
      <c r="U34" s="137">
        <f t="shared" si="8"/>
        <v>-1.5773243015549896</v>
      </c>
      <c r="V34" s="137">
        <f t="shared" si="9"/>
        <v>-0.41695115092503193</v>
      </c>
      <c r="W34" s="137">
        <f t="shared" si="10"/>
        <v>0.20808512951748545</v>
      </c>
      <c r="X34" s="137">
        <f t="shared" si="11"/>
        <v>0.11421903243557444</v>
      </c>
      <c r="Y34" s="138">
        <f t="shared" si="20"/>
        <v>-0.81363892689872375</v>
      </c>
      <c r="AA34" s="141">
        <f t="shared" si="12"/>
        <v>0.67016042881553251</v>
      </c>
      <c r="AB34" s="142">
        <f t="shared" si="13"/>
        <v>-0.84892115047167127</v>
      </c>
      <c r="AC34" s="142">
        <f t="shared" si="14"/>
        <v>-6.7330774486077744E-2</v>
      </c>
      <c r="AD34" s="142">
        <f t="shared" si="15"/>
        <v>-8.7632874569019067E-3</v>
      </c>
      <c r="AE34" s="142">
        <f t="shared" si="16"/>
        <v>2.3990665359279279E-3</v>
      </c>
      <c r="AF34" s="143">
        <f t="shared" si="21"/>
        <v>-0.25245571706319048</v>
      </c>
    </row>
    <row r="35" spans="4:32" x14ac:dyDescent="0.25">
      <c r="D35" s="1" t="s">
        <v>76</v>
      </c>
      <c r="E35" s="8">
        <f>b_22+POWER(ep,2)*b_42</f>
        <v>0.77766869272925221</v>
      </c>
      <c r="G35" s="147">
        <f t="shared" si="17"/>
        <v>1.6344159712180648</v>
      </c>
      <c r="H35" s="147">
        <f t="shared" si="22"/>
        <v>1.4451326206513053</v>
      </c>
      <c r="I35" s="147">
        <f t="shared" si="18"/>
        <v>1.8169999999999995</v>
      </c>
      <c r="J35" s="35"/>
      <c r="K35" s="156">
        <f t="shared" si="0"/>
        <v>0.47848763756236806</v>
      </c>
      <c r="L35" s="8">
        <f t="shared" si="1"/>
        <v>0.34724153991635021</v>
      </c>
      <c r="M35" s="8">
        <f t="shared" si="2"/>
        <v>-0.48643397963783935</v>
      </c>
      <c r="N35" s="8">
        <f t="shared" si="3"/>
        <v>-1.8633838911010319E-2</v>
      </c>
      <c r="O35" s="8">
        <f t="shared" si="4"/>
        <v>-3.1291918607650863E-3</v>
      </c>
      <c r="P35" s="8">
        <f t="shared" si="5"/>
        <v>3.8216120295009223E-4</v>
      </c>
      <c r="Q35" s="157">
        <f t="shared" si="19"/>
        <v>-0.16057330929031444</v>
      </c>
      <c r="R35" s="33"/>
      <c r="S35" s="136">
        <f t="shared" si="6"/>
        <v>0.68933278460367098</v>
      </c>
      <c r="T35" s="137">
        <f t="shared" si="7"/>
        <v>0.57411044876197448</v>
      </c>
      <c r="U35" s="137">
        <f t="shared" si="8"/>
        <v>-1.6431580937063646</v>
      </c>
      <c r="V35" s="137">
        <f t="shared" si="9"/>
        <v>-0.28645442401150439</v>
      </c>
      <c r="W35" s="137">
        <f t="shared" si="10"/>
        <v>0.25014298579484939</v>
      </c>
      <c r="X35" s="137">
        <f t="shared" si="11"/>
        <v>8.298498457206839E-2</v>
      </c>
      <c r="Y35" s="138">
        <f t="shared" si="20"/>
        <v>-1.0223740985889767</v>
      </c>
      <c r="AA35" s="141">
        <f t="shared" si="12"/>
        <v>0.44234937609600627</v>
      </c>
      <c r="AB35" s="142">
        <f t="shared" si="13"/>
        <v>-0.85833530776507416</v>
      </c>
      <c r="AC35" s="142">
        <f t="shared" si="14"/>
        <v>-4.4216266530901528E-2</v>
      </c>
      <c r="AD35" s="142">
        <f t="shared" si="15"/>
        <v>-9.9189515626560629E-3</v>
      </c>
      <c r="AE35" s="142">
        <f t="shared" si="16"/>
        <v>1.6166522233383412E-3</v>
      </c>
      <c r="AF35" s="143">
        <f t="shared" si="21"/>
        <v>-0.46850449753928713</v>
      </c>
    </row>
    <row r="36" spans="4:32" x14ac:dyDescent="0.25">
      <c r="D36" s="1" t="s">
        <v>77</v>
      </c>
      <c r="E36" s="8">
        <f>-b_31+POWER(ep,2)*b_53</f>
        <v>0.89934805224986702</v>
      </c>
      <c r="G36" s="147">
        <f t="shared" si="17"/>
        <v>1.7054775351840676</v>
      </c>
      <c r="H36" s="147">
        <f t="shared" si="22"/>
        <v>1.5079644737231013</v>
      </c>
      <c r="I36" s="147">
        <f t="shared" si="18"/>
        <v>1.8959999999999995</v>
      </c>
      <c r="J36" s="35"/>
      <c r="K36" s="156">
        <f t="shared" si="0"/>
        <v>0.23971684521711425</v>
      </c>
      <c r="L36" s="8">
        <f t="shared" si="1"/>
        <v>0.17200370987027472</v>
      </c>
      <c r="M36" s="8">
        <f t="shared" si="2"/>
        <v>-0.48454470884978101</v>
      </c>
      <c r="N36" s="8">
        <f t="shared" si="3"/>
        <v>-9.0869219345913414E-3</v>
      </c>
      <c r="O36" s="8">
        <f t="shared" si="4"/>
        <v>-3.2660287148411999E-3</v>
      </c>
      <c r="P36" s="8">
        <f t="shared" si="5"/>
        <v>1.8701814703648933E-4</v>
      </c>
      <c r="Q36" s="157">
        <f t="shared" si="19"/>
        <v>-0.32470693148190233</v>
      </c>
      <c r="R36" s="33"/>
      <c r="S36" s="136">
        <f t="shared" si="6"/>
        <v>0.34534785741122076</v>
      </c>
      <c r="T36" s="137">
        <f t="shared" si="7"/>
        <v>0.28762278224056259</v>
      </c>
      <c r="U36" s="137">
        <f t="shared" si="8"/>
        <v>-1.6830783011449242</v>
      </c>
      <c r="V36" s="137">
        <f t="shared" si="9"/>
        <v>-0.14580990631762877</v>
      </c>
      <c r="W36" s="137">
        <f t="shared" si="10"/>
        <v>0.2764834383131734</v>
      </c>
      <c r="X36" s="137">
        <f t="shared" si="11"/>
        <v>4.3627788228262479E-2</v>
      </c>
      <c r="Y36" s="138">
        <f t="shared" si="20"/>
        <v>-1.2211541986805545</v>
      </c>
      <c r="AA36" s="141">
        <f t="shared" si="12"/>
        <v>0.21884428464735392</v>
      </c>
      <c r="AB36" s="142">
        <f t="shared" si="13"/>
        <v>-0.85455064801047342</v>
      </c>
      <c r="AC36" s="142">
        <f t="shared" si="14"/>
        <v>-2.155993378345732E-2</v>
      </c>
      <c r="AD36" s="142">
        <f t="shared" si="15"/>
        <v>-1.0352498562840002E-2</v>
      </c>
      <c r="AE36" s="142">
        <f t="shared" si="16"/>
        <v>7.9113841046996763E-4</v>
      </c>
      <c r="AF36" s="143">
        <f t="shared" si="21"/>
        <v>-0.66682765729894689</v>
      </c>
    </row>
    <row r="37" spans="4:32" x14ac:dyDescent="0.25">
      <c r="D37" s="1" t="s">
        <v>78</v>
      </c>
      <c r="E37" s="8">
        <f>b_44</f>
        <v>0.83179082438379104</v>
      </c>
      <c r="G37" s="147">
        <f t="shared" si="17"/>
        <v>1.7765390991500705</v>
      </c>
      <c r="H37" s="147">
        <f t="shared" si="22"/>
        <v>1.5707963267948972</v>
      </c>
      <c r="I37" s="147">
        <f t="shared" si="18"/>
        <v>1.9749999999999994</v>
      </c>
      <c r="J37" s="35"/>
      <c r="K37" s="156">
        <f t="shared" si="0"/>
        <v>-2.3092508475896663E-15</v>
      </c>
      <c r="L37" s="8">
        <f t="shared" si="1"/>
        <v>-1.6392356215743609E-15</v>
      </c>
      <c r="M37" s="8">
        <f t="shared" si="2"/>
        <v>-0.47557549450467457</v>
      </c>
      <c r="N37" s="8">
        <f t="shared" si="3"/>
        <v>7.4133987287173924E-17</v>
      </c>
      <c r="O37" s="8">
        <f t="shared" si="4"/>
        <v>-3.192342593536456E-3</v>
      </c>
      <c r="P37" s="8">
        <f t="shared" si="5"/>
        <v>-1.834758994252532E-18</v>
      </c>
      <c r="Q37" s="157">
        <f t="shared" si="19"/>
        <v>-0.47876783709821263</v>
      </c>
      <c r="R37" s="33"/>
      <c r="S37" s="136">
        <f t="shared" si="6"/>
        <v>-3.3268201561631461E-15</v>
      </c>
      <c r="T37" s="137">
        <f t="shared" si="7"/>
        <v>-2.7707404253278487E-15</v>
      </c>
      <c r="U37" s="137">
        <f t="shared" si="8"/>
        <v>-1.6964553583521853</v>
      </c>
      <c r="V37" s="137">
        <f t="shared" si="9"/>
        <v>1.2392623439413673E-15</v>
      </c>
      <c r="W37" s="137">
        <f t="shared" si="10"/>
        <v>0.28545141956732339</v>
      </c>
      <c r="X37" s="137">
        <f t="shared" si="11"/>
        <v>-4.5833858091239369E-16</v>
      </c>
      <c r="Y37" s="138">
        <f t="shared" si="20"/>
        <v>-1.4110039387848636</v>
      </c>
      <c r="AA37" s="141">
        <f t="shared" si="12"/>
        <v>-2.0831207589245989E-15</v>
      </c>
      <c r="AB37" s="142">
        <f t="shared" si="13"/>
        <v>-0.83828600817932641</v>
      </c>
      <c r="AC37" s="142">
        <f t="shared" si="14"/>
        <v>1.7587211236519679E-16</v>
      </c>
      <c r="AD37" s="142">
        <f t="shared" si="15"/>
        <v>-1.0118722872238917E-2</v>
      </c>
      <c r="AE37" s="142">
        <f t="shared" si="16"/>
        <v>-7.7615119616105372E-18</v>
      </c>
      <c r="AF37" s="143">
        <f t="shared" si="21"/>
        <v>-0.84840473105156722</v>
      </c>
    </row>
    <row r="38" spans="4:32" x14ac:dyDescent="0.25">
      <c r="D38" s="1" t="s">
        <v>79</v>
      </c>
      <c r="E38" s="8">
        <f>b_55</f>
        <v>1.0372360907212914</v>
      </c>
      <c r="G38" s="147">
        <f t="shared" si="17"/>
        <v>1.8476006631160733</v>
      </c>
      <c r="H38" s="147">
        <f t="shared" si="22"/>
        <v>1.6336281798666932</v>
      </c>
      <c r="I38" s="147">
        <f t="shared" si="18"/>
        <v>2.0539999999999994</v>
      </c>
      <c r="J38" s="35"/>
      <c r="K38" s="156">
        <f t="shared" si="0"/>
        <v>-0.23971684521711886</v>
      </c>
      <c r="L38" s="8">
        <f t="shared" si="1"/>
        <v>-0.16844032623397884</v>
      </c>
      <c r="M38" s="8">
        <f t="shared" si="2"/>
        <v>-0.46002660367936227</v>
      </c>
      <c r="N38" s="8">
        <f t="shared" si="3"/>
        <v>8.3887267829018519E-3</v>
      </c>
      <c r="O38" s="8">
        <f t="shared" si="4"/>
        <v>-2.9347973917695472E-3</v>
      </c>
      <c r="P38" s="8">
        <f t="shared" si="5"/>
        <v>-1.6360963351754338E-4</v>
      </c>
      <c r="Q38" s="157">
        <f t="shared" si="19"/>
        <v>-0.62317661015572634</v>
      </c>
      <c r="R38" s="33"/>
      <c r="S38" s="136">
        <f t="shared" si="6"/>
        <v>-0.34534785741122737</v>
      </c>
      <c r="T38" s="137">
        <f t="shared" si="7"/>
        <v>-0.28762278224056814</v>
      </c>
      <c r="U38" s="137">
        <f t="shared" si="8"/>
        <v>-1.6830783011449235</v>
      </c>
      <c r="V38" s="137">
        <f t="shared" si="9"/>
        <v>0.14580990631763191</v>
      </c>
      <c r="W38" s="137">
        <f t="shared" si="10"/>
        <v>0.27648343831317307</v>
      </c>
      <c r="X38" s="137">
        <f t="shared" si="11"/>
        <v>-4.3627788228263228E-2</v>
      </c>
      <c r="Y38" s="138">
        <f t="shared" si="20"/>
        <v>-1.5920355269829498</v>
      </c>
      <c r="AA38" s="141">
        <f t="shared" si="12"/>
        <v>-0.21380013550889412</v>
      </c>
      <c r="AB38" s="142">
        <f t="shared" si="13"/>
        <v>-0.81044465367334628</v>
      </c>
      <c r="AC38" s="142">
        <f t="shared" si="14"/>
        <v>1.9898621061663874E-2</v>
      </c>
      <c r="AD38" s="142">
        <f t="shared" si="15"/>
        <v>-9.3021816134735303E-3</v>
      </c>
      <c r="AE38" s="142">
        <f t="shared" si="16"/>
        <v>-6.9210922114949238E-4</v>
      </c>
      <c r="AF38" s="143">
        <f t="shared" si="21"/>
        <v>-1.0143404589551996</v>
      </c>
    </row>
    <row r="39" spans="4:32" x14ac:dyDescent="0.25">
      <c r="G39" s="147">
        <f t="shared" si="17"/>
        <v>1.9186622270820761</v>
      </c>
      <c r="H39" s="147">
        <f t="shared" si="22"/>
        <v>1.6964600329384891</v>
      </c>
      <c r="I39" s="147">
        <f t="shared" si="18"/>
        <v>2.1329999999999996</v>
      </c>
      <c r="J39" s="35"/>
      <c r="K39" s="156">
        <f t="shared" si="0"/>
        <v>-0.47848763756237261</v>
      </c>
      <c r="L39" s="8">
        <f t="shared" si="1"/>
        <v>-0.33300628548729638</v>
      </c>
      <c r="M39" s="8">
        <f t="shared" si="2"/>
        <v>-0.43847811994754138</v>
      </c>
      <c r="N39" s="8">
        <f t="shared" si="3"/>
        <v>1.588199904841783E-2</v>
      </c>
      <c r="O39" s="8">
        <f t="shared" si="4"/>
        <v>-2.5270191991046253E-3</v>
      </c>
      <c r="P39" s="8">
        <f t="shared" si="5"/>
        <v>-2.9253113433558086E-4</v>
      </c>
      <c r="Q39" s="157">
        <f t="shared" si="19"/>
        <v>-0.75842195671986012</v>
      </c>
      <c r="R39" s="33"/>
      <c r="S39" s="136">
        <f t="shared" si="6"/>
        <v>-0.68933278460367753</v>
      </c>
      <c r="T39" s="137">
        <f t="shared" si="7"/>
        <v>-0.57411044876198003</v>
      </c>
      <c r="U39" s="137">
        <f t="shared" si="8"/>
        <v>-1.6431580937063637</v>
      </c>
      <c r="V39" s="137">
        <f t="shared" si="9"/>
        <v>0.28645442401150661</v>
      </c>
      <c r="W39" s="137">
        <f t="shared" si="10"/>
        <v>0.25014298579484873</v>
      </c>
      <c r="X39" s="137">
        <f t="shared" si="11"/>
        <v>-8.2984984572069015E-2</v>
      </c>
      <c r="Y39" s="138">
        <f t="shared" si="20"/>
        <v>-1.7636561172340575</v>
      </c>
      <c r="AA39" s="141">
        <f t="shared" si="12"/>
        <v>-0.42220123032727808</v>
      </c>
      <c r="AB39" s="142">
        <f t="shared" si="13"/>
        <v>-0.77207027551989194</v>
      </c>
      <c r="AC39" s="142">
        <f t="shared" si="14"/>
        <v>3.7668488901397117E-2</v>
      </c>
      <c r="AD39" s="142">
        <f t="shared" si="15"/>
        <v>-8.0094969663526104E-3</v>
      </c>
      <c r="AE39" s="142">
        <f t="shared" si="16"/>
        <v>-1.2374743301814149E-3</v>
      </c>
      <c r="AF39" s="143">
        <f t="shared" si="21"/>
        <v>-1.165849988242307</v>
      </c>
    </row>
    <row r="40" spans="4:32" x14ac:dyDescent="0.25">
      <c r="G40" s="147">
        <f t="shared" si="17"/>
        <v>1.9897237910480789</v>
      </c>
      <c r="H40" s="147">
        <f t="shared" si="22"/>
        <v>1.7592918860102851</v>
      </c>
      <c r="I40" s="147">
        <f t="shared" si="18"/>
        <v>2.2119999999999997</v>
      </c>
      <c r="J40" s="35"/>
      <c r="K40" s="156">
        <f t="shared" si="0"/>
        <v>-0.71537005780237584</v>
      </c>
      <c r="L40" s="8">
        <f t="shared" si="1"/>
        <v>-0.49342871287984968</v>
      </c>
      <c r="M40" s="8">
        <f t="shared" si="2"/>
        <v>-0.41155516010778803</v>
      </c>
      <c r="N40" s="8">
        <f t="shared" si="3"/>
        <v>2.2328352152523368E-2</v>
      </c>
      <c r="O40" s="8">
        <f t="shared" si="4"/>
        <v>-2.0066904293373892E-3</v>
      </c>
      <c r="P40" s="8">
        <f t="shared" si="5"/>
        <v>-3.7990279027694208E-4</v>
      </c>
      <c r="Q40" s="157">
        <f t="shared" si="19"/>
        <v>-0.88504211405472866</v>
      </c>
      <c r="R40" s="33"/>
      <c r="S40" s="136">
        <f t="shared" si="6"/>
        <v>-1.0305972302214901</v>
      </c>
      <c r="T40" s="137">
        <f t="shared" si="7"/>
        <v>-0.85833236362824339</v>
      </c>
      <c r="U40" s="137">
        <f t="shared" si="8"/>
        <v>-1.577324301554988</v>
      </c>
      <c r="V40" s="137">
        <f t="shared" si="9"/>
        <v>0.41695115092503454</v>
      </c>
      <c r="W40" s="137">
        <f t="shared" si="10"/>
        <v>0.20808512951748448</v>
      </c>
      <c r="X40" s="137">
        <f t="shared" si="11"/>
        <v>-0.11421903243557498</v>
      </c>
      <c r="Y40" s="138">
        <f t="shared" si="20"/>
        <v>-1.9248394171762873</v>
      </c>
      <c r="AA40" s="141">
        <f t="shared" si="12"/>
        <v>-0.62491005265312427</v>
      </c>
      <c r="AB40" s="142">
        <f t="shared" si="13"/>
        <v>-0.72428430355506235</v>
      </c>
      <c r="AC40" s="142">
        <f t="shared" si="14"/>
        <v>5.2951140284548517E-2</v>
      </c>
      <c r="AD40" s="142">
        <f t="shared" si="15"/>
        <v>-6.3601411193289692E-3</v>
      </c>
      <c r="AE40" s="142">
        <f t="shared" si="16"/>
        <v>-1.6070701303950656E-3</v>
      </c>
      <c r="AF40" s="143">
        <f t="shared" si="21"/>
        <v>-1.3042104271733621</v>
      </c>
    </row>
    <row r="41" spans="4:32" x14ac:dyDescent="0.25">
      <c r="G41" s="147">
        <f t="shared" si="17"/>
        <v>2.0607853550140818</v>
      </c>
      <c r="H41" s="147">
        <f t="shared" si="22"/>
        <v>1.822123739082081</v>
      </c>
      <c r="I41" s="147">
        <f t="shared" si="18"/>
        <v>2.2909999999999999</v>
      </c>
      <c r="J41" s="35"/>
      <c r="K41" s="156">
        <f t="shared" si="0"/>
        <v>-0.94942923924572464</v>
      </c>
      <c r="L41" s="8">
        <f t="shared" si="1"/>
        <v>-0.64948557826952824</v>
      </c>
      <c r="M41" s="8">
        <f t="shared" si="2"/>
        <v>-0.37989228054882251</v>
      </c>
      <c r="N41" s="8">
        <f t="shared" si="3"/>
        <v>2.7621461023479298E-2</v>
      </c>
      <c r="O41" s="8">
        <f t="shared" si="4"/>
        <v>-1.4127593706917949E-3</v>
      </c>
      <c r="P41" s="8">
        <f t="shared" si="5"/>
        <v>-4.2315437051266338E-4</v>
      </c>
      <c r="Q41" s="157">
        <f t="shared" si="19"/>
        <v>-1.0035923115360761</v>
      </c>
      <c r="R41" s="33"/>
      <c r="S41" s="136">
        <f t="shared" si="6"/>
        <v>-1.3677943794067065</v>
      </c>
      <c r="T41" s="137">
        <f t="shared" si="7"/>
        <v>-1.1391668327900226</v>
      </c>
      <c r="U41" s="137">
        <f t="shared" si="8"/>
        <v>-1.4866151629202249</v>
      </c>
      <c r="V41" s="137">
        <f t="shared" si="9"/>
        <v>0.5326771754491223</v>
      </c>
      <c r="W41" s="137">
        <f t="shared" si="10"/>
        <v>0.15295251926896283</v>
      </c>
      <c r="X41" s="137">
        <f t="shared" si="11"/>
        <v>-0.13427252559349293</v>
      </c>
      <c r="Y41" s="138">
        <f t="shared" si="20"/>
        <v>-2.0744248265856551</v>
      </c>
      <c r="AA41" s="141">
        <f t="shared" si="12"/>
        <v>-0.82170253982382691</v>
      </c>
      <c r="AB41" s="142">
        <f t="shared" si="13"/>
        <v>-0.66822163693129244</v>
      </c>
      <c r="AC41" s="142">
        <f t="shared" si="14"/>
        <v>6.5495477990787296E-2</v>
      </c>
      <c r="AD41" s="142">
        <f t="shared" si="15"/>
        <v>-4.4775875575292935E-3</v>
      </c>
      <c r="AE41" s="142">
        <f t="shared" si="16"/>
        <v>-1.7900260536834289E-3</v>
      </c>
      <c r="AF41" s="143">
        <f t="shared" si="21"/>
        <v>-1.4306963123755447</v>
      </c>
    </row>
    <row r="42" spans="4:32" x14ac:dyDescent="0.25">
      <c r="G42" s="147">
        <f t="shared" si="17"/>
        <v>2.1318469189800844</v>
      </c>
      <c r="H42" s="147">
        <f t="shared" si="22"/>
        <v>1.884955592153877</v>
      </c>
      <c r="I42" s="147">
        <f t="shared" si="18"/>
        <v>2.37</v>
      </c>
      <c r="J42" s="35"/>
      <c r="K42" s="156">
        <f t="shared" si="0"/>
        <v>-1.1797414572347307</v>
      </c>
      <c r="L42" s="8">
        <f t="shared" si="1"/>
        <v>-0.80099109672128332</v>
      </c>
      <c r="M42" s="8">
        <f t="shared" si="2"/>
        <v>-0.34410520935168976</v>
      </c>
      <c r="N42" s="8">
        <f t="shared" si="3"/>
        <v>3.1695271236131438E-2</v>
      </c>
      <c r="O42" s="8">
        <f t="shared" si="4"/>
        <v>-7.8320810056814558E-4</v>
      </c>
      <c r="P42" s="8">
        <f t="shared" si="5"/>
        <v>-4.2349061691017371E-4</v>
      </c>
      <c r="Q42" s="157">
        <f t="shared" si="19"/>
        <v>-1.1146077335543201</v>
      </c>
      <c r="R42" s="33"/>
      <c r="S42" s="136">
        <f t="shared" si="6"/>
        <v>-1.6995934690622161</v>
      </c>
      <c r="T42" s="137">
        <f t="shared" si="7"/>
        <v>-1.4155055308986004</v>
      </c>
      <c r="U42" s="137">
        <f t="shared" si="8"/>
        <v>-1.3724612151053575</v>
      </c>
      <c r="V42" s="137">
        <f t="shared" si="9"/>
        <v>0.62953284547064914</v>
      </c>
      <c r="W42" s="137">
        <f t="shared" si="10"/>
        <v>8.8209339714755197E-2</v>
      </c>
      <c r="X42" s="137">
        <f t="shared" si="11"/>
        <v>-0.14118248841462352</v>
      </c>
      <c r="Y42" s="138">
        <f t="shared" si="20"/>
        <v>-2.2114070492331774</v>
      </c>
      <c r="AA42" s="141">
        <f t="shared" si="12"/>
        <v>-1.0124081564268221</v>
      </c>
      <c r="AB42" s="142">
        <f t="shared" si="13"/>
        <v>-0.60497947342626246</v>
      </c>
      <c r="AC42" s="142">
        <f t="shared" si="14"/>
        <v>7.5146120479029826E-2</v>
      </c>
      <c r="AD42" s="142">
        <f t="shared" si="15"/>
        <v>-2.4822335187462703E-3</v>
      </c>
      <c r="AE42" s="142">
        <f t="shared" si="16"/>
        <v>-1.7914408003428506E-3</v>
      </c>
      <c r="AF42" s="143">
        <f t="shared" si="21"/>
        <v>-1.5465151836931439</v>
      </c>
    </row>
    <row r="43" spans="4:32" x14ac:dyDescent="0.25">
      <c r="G43" s="147">
        <f t="shared" si="17"/>
        <v>2.202908482946087</v>
      </c>
      <c r="H43" s="147">
        <f t="shared" si="22"/>
        <v>1.9477874452256729</v>
      </c>
      <c r="I43" s="147">
        <f t="shared" si="18"/>
        <v>2.4490000000000003</v>
      </c>
      <c r="J43" s="35"/>
      <c r="K43" s="156">
        <f t="shared" si="0"/>
        <v>-1.4053977746646353</v>
      </c>
      <c r="L43" s="8">
        <f t="shared" si="1"/>
        <v>-0.94777307670145849</v>
      </c>
      <c r="M43" s="8">
        <f t="shared" si="2"/>
        <v>-0.30477519242718709</v>
      </c>
      <c r="N43" s="8">
        <f t="shared" si="3"/>
        <v>3.4517073684685762E-2</v>
      </c>
      <c r="O43" s="8">
        <f t="shared" si="4"/>
        <v>-1.5356565938857896E-4</v>
      </c>
      <c r="P43" s="8">
        <f t="shared" si="5"/>
        <v>-3.8518511918918279E-4</v>
      </c>
      <c r="Q43" s="157">
        <f t="shared" si="19"/>
        <v>-1.2185699462225374</v>
      </c>
      <c r="R43" s="33"/>
      <c r="S43" s="136">
        <f t="shared" si="6"/>
        <v>-2.0246850397657346</v>
      </c>
      <c r="T43" s="137">
        <f t="shared" si="7"/>
        <v>-1.6862578753596857</v>
      </c>
      <c r="U43" s="137">
        <f t="shared" si="8"/>
        <v>-1.2366627340596887</v>
      </c>
      <c r="V43" s="137">
        <f t="shared" si="9"/>
        <v>0.70408700059242202</v>
      </c>
      <c r="W43" s="137">
        <f t="shared" si="10"/>
        <v>1.7923642935010965E-2</v>
      </c>
      <c r="X43" s="137">
        <f t="shared" si="11"/>
        <v>-0.13427252559349254</v>
      </c>
      <c r="Y43" s="138">
        <f t="shared" si="20"/>
        <v>-2.3351824914854338</v>
      </c>
      <c r="AA43" s="141">
        <f t="shared" si="12"/>
        <v>-1.1968771924874475</v>
      </c>
      <c r="AB43" s="142">
        <f t="shared" si="13"/>
        <v>-0.53558885534963763</v>
      </c>
      <c r="AC43" s="142">
        <f t="shared" si="14"/>
        <v>8.1826844879418964E-2</v>
      </c>
      <c r="AD43" s="142">
        <f t="shared" si="15"/>
        <v>-4.8668663343288455E-4</v>
      </c>
      <c r="AE43" s="142">
        <f t="shared" si="16"/>
        <v>-1.629394817836015E-3</v>
      </c>
      <c r="AF43" s="143">
        <f t="shared" si="21"/>
        <v>-1.652755284408935</v>
      </c>
    </row>
    <row r="44" spans="4:32" x14ac:dyDescent="0.25">
      <c r="G44" s="147">
        <f t="shared" si="17"/>
        <v>2.2739700469120896</v>
      </c>
      <c r="H44" s="147">
        <f t="shared" si="22"/>
        <v>2.0106192982974687</v>
      </c>
      <c r="I44" s="147">
        <f t="shared" si="18"/>
        <v>2.5280000000000005</v>
      </c>
      <c r="J44" s="35"/>
      <c r="K44" s="156">
        <f t="shared" ref="K44:K75" si="23">umax*COS(H44)</f>
        <v>-1.6255076291431068</v>
      </c>
      <c r="L44" s="8">
        <f t="shared" ref="L44:L75" si="24">(ep*a_1*COSH(kd+k*Y44-k*zpoint)*COS(H44))*C_o*SQRT(9.81/k)</f>
        <v>-1.0896443762966452</v>
      </c>
      <c r="M44" s="8">
        <f t="shared" ref="M44:M75" si="25">2*POWER(ep,2)*a_2*COSH(2*(kd+k*Y44-k*zpoint))*COS(2*H44)*C_o*SQRT(9.81/k)</f>
        <v>-0.26244778838996263</v>
      </c>
      <c r="N44" s="8">
        <f t="shared" ref="N44:N75" si="26">3*POWER(ep,3)*a_3*COSH(3*(kd+k*Y44-k*zpoint))*COS(3*H44)*C_o*SQRT(9.81/k)</f>
        <v>3.6080824251273284E-2</v>
      </c>
      <c r="O44" s="8">
        <f t="shared" ref="O44:O75" si="27">4*POWER(ep,4)*a_4*COSH(4*(kd+k*Y44-k*zpoint))*COS(4*H44)*C_o*SQRT(9.81/k)</f>
        <v>4.4390368125790745E-4</v>
      </c>
      <c r="P44" s="8">
        <f t="shared" ref="P44:P75" si="28">5*POWER(ep,5)*a_5*COSH(5*(kd+k*Y44-k*zpoint))*COS(5*H44)*C_o*SQRT(9.81/k)</f>
        <v>-3.1485622473281756E-4</v>
      </c>
      <c r="Q44" s="157">
        <f t="shared" si="19"/>
        <v>-1.3158822929788092</v>
      </c>
      <c r="R44" s="33"/>
      <c r="S44" s="136">
        <f t="shared" ref="S44:S75" si="29">HRMS/2*COS(H44)</f>
        <v>-2.3417861036079044</v>
      </c>
      <c r="T44" s="137">
        <f t="shared" ref="T44:T75" si="30">ep*b_1*COS(H44)/k</f>
        <v>-1.9503553303646688</v>
      </c>
      <c r="U44" s="137">
        <f t="shared" ref="U44:U75" si="31">POWER(ep,2)*b_2*COS(2*H44)/k</f>
        <v>-1.0813613429513906</v>
      </c>
      <c r="V44" s="137">
        <f t="shared" ref="V44:V75" si="32">POWER(ep,3)*b_3*COS(3*H44)/k</f>
        <v>0.75369852270082849</v>
      </c>
      <c r="W44" s="137">
        <f t="shared" ref="W44:W75" si="33">POWER(ep,4)*b_4*COS(4*H44)/k</f>
        <v>-5.3488262248887405E-2</v>
      </c>
      <c r="X44" s="137">
        <f t="shared" ref="X44:X75" si="34">POWER(ep,5)*b_5*COS(5*H44)/k</f>
        <v>-0.11421903243557416</v>
      </c>
      <c r="Y44" s="138">
        <f t="shared" si="20"/>
        <v>-2.4457254452996922</v>
      </c>
      <c r="AA44" s="141">
        <f t="shared" ref="AA44:AA75" si="35">(ep*a_1*COSH(kd+k*Y44)*COS(H44))*C_o*SQRT(9.81/k)</f>
        <v>-1.3749392704500329</v>
      </c>
      <c r="AB44" s="142">
        <f t="shared" ref="AB44:AB75" si="36">2*POWER(ep,2)*a_2*COSH(2*(kd+k*Y44))*COS(2*H44)*C_o*SQRT(9.81/k)</f>
        <v>-0.46101235647225014</v>
      </c>
      <c r="AC44" s="142">
        <f t="shared" ref="AC44:AC75" si="37">3*POWER(ep,3)*a_3*COSH(3*(kd+k*Y44))*COS(3*H44)*C_o*SQRT(9.81/k)</f>
        <v>8.5524605219975555E-2</v>
      </c>
      <c r="AD44" s="142">
        <f t="shared" ref="AD44:AD75" si="38">4*POWER(ep,4)*a_4*COSH(4*(kd+k*Y44))*COS(4*H44)*C_o*SQRT(9.81/k)</f>
        <v>1.4068064581475969E-3</v>
      </c>
      <c r="AE44" s="142">
        <f t="shared" ref="AE44:AE75" si="39">5*POWER(ep,5)*a_5*COSH(5*(kd+k*Y44))*COS(5*H44)*C_o*SQRT(9.81/k)</f>
        <v>-1.3318868372322761E-3</v>
      </c>
      <c r="AF44" s="143">
        <f t="shared" si="21"/>
        <v>-1.7503521020813921</v>
      </c>
    </row>
    <row r="45" spans="4:32" x14ac:dyDescent="0.25">
      <c r="G45" s="147">
        <f t="shared" ref="G45:G76" si="40">G44+Dt</f>
        <v>2.3450316108780922</v>
      </c>
      <c r="H45" s="147">
        <f t="shared" si="22"/>
        <v>2.0734511513692646</v>
      </c>
      <c r="I45" s="147">
        <f t="shared" ref="I45:I76" si="41">I44+Dtlin</f>
        <v>2.6070000000000007</v>
      </c>
      <c r="J45" s="35"/>
      <c r="K45" s="156">
        <f t="shared" si="23"/>
        <v>-1.8392023476331474</v>
      </c>
      <c r="L45" s="8">
        <f t="shared" si="24"/>
        <v>-1.2263747417329973</v>
      </c>
      <c r="M45" s="8">
        <f t="shared" si="25"/>
        <v>-0.217644654449067</v>
      </c>
      <c r="N45" s="8">
        <f t="shared" si="26"/>
        <v>3.6402546772103889E-2</v>
      </c>
      <c r="O45" s="8">
        <f t="shared" si="27"/>
        <v>9.8058735053035474E-4</v>
      </c>
      <c r="P45" s="8">
        <f t="shared" si="28"/>
        <v>-2.2081906471661933E-4</v>
      </c>
      <c r="Q45" s="157">
        <f t="shared" si="19"/>
        <v>-1.4068570811241468</v>
      </c>
      <c r="R45" s="33"/>
      <c r="S45" s="136">
        <f t="shared" si="29"/>
        <v>-2.649645207559439</v>
      </c>
      <c r="T45" s="137">
        <f t="shared" si="30"/>
        <v>-2.2067556239132973</v>
      </c>
      <c r="U45" s="137">
        <f t="shared" si="31"/>
        <v>-0.90900623749079346</v>
      </c>
      <c r="V45" s="137">
        <f t="shared" si="32"/>
        <v>0.77660989889172016</v>
      </c>
      <c r="W45" s="137">
        <f t="shared" si="33"/>
        <v>-0.12153930319962039</v>
      </c>
      <c r="X45" s="137">
        <f t="shared" si="34"/>
        <v>-8.2984984572068085E-2</v>
      </c>
      <c r="Y45" s="138">
        <f t="shared" si="20"/>
        <v>-2.5436762502840589</v>
      </c>
      <c r="AA45" s="141">
        <f t="shared" si="35"/>
        <v>-1.546362059926131</v>
      </c>
      <c r="AB45" s="142">
        <f t="shared" si="36"/>
        <v>-0.38216538497480257</v>
      </c>
      <c r="AC45" s="142">
        <f t="shared" si="37"/>
        <v>8.6278511367844646E-2</v>
      </c>
      <c r="AD45" s="142">
        <f t="shared" si="38"/>
        <v>3.1075831869640494E-3</v>
      </c>
      <c r="AE45" s="142">
        <f t="shared" si="39"/>
        <v>-9.3409253725226435E-4</v>
      </c>
      <c r="AF45" s="143">
        <f t="shared" si="21"/>
        <v>-1.8400754428833772</v>
      </c>
    </row>
    <row r="46" spans="4:32" x14ac:dyDescent="0.25">
      <c r="G46" s="147">
        <f t="shared" si="40"/>
        <v>2.4160931748440948</v>
      </c>
      <c r="H46" s="147">
        <f t="shared" si="22"/>
        <v>2.1362830044410606</v>
      </c>
      <c r="I46" s="147">
        <f t="shared" si="41"/>
        <v>2.6860000000000008</v>
      </c>
      <c r="J46" s="35"/>
      <c r="K46" s="156">
        <f t="shared" si="23"/>
        <v>-2.0456385747087067</v>
      </c>
      <c r="L46" s="8">
        <f t="shared" si="24"/>
        <v>-1.3576688150949399</v>
      </c>
      <c r="M46" s="8">
        <f t="shared" si="25"/>
        <v>-0.17088425855927614</v>
      </c>
      <c r="N46" s="8">
        <f t="shared" si="26"/>
        <v>3.5518805269522898E-2</v>
      </c>
      <c r="O46" s="8">
        <f t="shared" si="27"/>
        <v>1.4318036646884138E-3</v>
      </c>
      <c r="P46" s="8">
        <f t="shared" si="28"/>
        <v>-1.1252053043374271E-4</v>
      </c>
      <c r="Q46" s="157">
        <f t="shared" si="19"/>
        <v>-1.4917149852504386</v>
      </c>
      <c r="R46" s="33"/>
      <c r="S46" s="136">
        <f t="shared" si="29"/>
        <v>-2.9470473723844863</v>
      </c>
      <c r="T46" s="137">
        <f t="shared" si="30"/>
        <v>-2.4544468611850863</v>
      </c>
      <c r="U46" s="137">
        <f t="shared" si="31"/>
        <v>-0.72231556065096136</v>
      </c>
      <c r="V46" s="137">
        <f t="shared" si="32"/>
        <v>0.77200948224123667</v>
      </c>
      <c r="W46" s="137">
        <f t="shared" si="33"/>
        <v>-0.18195358274003151</v>
      </c>
      <c r="X46" s="137">
        <f t="shared" si="34"/>
        <v>-4.3627788228261903E-2</v>
      </c>
      <c r="Y46" s="138">
        <f t="shared" si="20"/>
        <v>-2.6303343105631045</v>
      </c>
      <c r="AA46" s="141">
        <f t="shared" si="35"/>
        <v>-1.7108186184370966</v>
      </c>
      <c r="AB46" s="142">
        <f t="shared" si="36"/>
        <v>-0.29995382680051141</v>
      </c>
      <c r="AC46" s="142">
        <f t="shared" si="37"/>
        <v>8.4176127827863934E-2</v>
      </c>
      <c r="AD46" s="142">
        <f t="shared" si="38"/>
        <v>4.5374455577934158E-3</v>
      </c>
      <c r="AE46" s="142">
        <f t="shared" si="39"/>
        <v>-4.7597428833536204E-4</v>
      </c>
      <c r="AF46" s="143">
        <f t="shared" si="21"/>
        <v>-1.922534846140286</v>
      </c>
    </row>
    <row r="47" spans="4:32" x14ac:dyDescent="0.25">
      <c r="G47" s="147">
        <f t="shared" si="40"/>
        <v>2.4871547388100974</v>
      </c>
      <c r="H47" s="147">
        <f t="shared" si="22"/>
        <v>2.1991148575128565</v>
      </c>
      <c r="I47" s="147">
        <f t="shared" si="41"/>
        <v>2.765000000000001</v>
      </c>
      <c r="J47" s="35"/>
      <c r="K47" s="156">
        <f t="shared" si="23"/>
        <v>-2.2440016008932586</v>
      </c>
      <c r="L47" s="8">
        <f t="shared" si="24"/>
        <v>-1.4831549015733647</v>
      </c>
      <c r="M47" s="8">
        <f t="shared" si="25"/>
        <v>-0.12270581138687928</v>
      </c>
      <c r="N47" s="8">
        <f t="shared" si="26"/>
        <v>3.3488226194329472E-2</v>
      </c>
      <c r="O47" s="8">
        <f t="shared" si="27"/>
        <v>1.7772440379585557E-3</v>
      </c>
      <c r="P47" s="8">
        <f t="shared" si="28"/>
        <v>2.3643672214510677E-18</v>
      </c>
      <c r="Q47" s="157">
        <f t="shared" si="19"/>
        <v>-1.5705952427279559</v>
      </c>
      <c r="R47" s="33"/>
      <c r="S47" s="136">
        <f t="shared" si="29"/>
        <v>-3.2328188876086079</v>
      </c>
      <c r="T47" s="137">
        <f t="shared" si="30"/>
        <v>-2.6924515180258859</v>
      </c>
      <c r="U47" s="137">
        <f t="shared" si="31"/>
        <v>-0.5242335359292627</v>
      </c>
      <c r="V47" s="137">
        <f t="shared" si="32"/>
        <v>0.74006024480272548</v>
      </c>
      <c r="W47" s="137">
        <f t="shared" si="33"/>
        <v>-0.23093504949841884</v>
      </c>
      <c r="X47" s="137">
        <f t="shared" si="34"/>
        <v>9.4262258795598689E-16</v>
      </c>
      <c r="Y47" s="138">
        <f t="shared" si="20"/>
        <v>-2.7075598586508414</v>
      </c>
      <c r="AA47" s="141">
        <f t="shared" si="35"/>
        <v>-1.8678701129199653</v>
      </c>
      <c r="AB47" s="142">
        <f t="shared" si="36"/>
        <v>-0.21531772990230691</v>
      </c>
      <c r="AC47" s="142">
        <f t="shared" si="37"/>
        <v>7.9357056987644156E-2</v>
      </c>
      <c r="AD47" s="142">
        <f t="shared" si="38"/>
        <v>5.6320573014317036E-3</v>
      </c>
      <c r="AE47" s="142">
        <f t="shared" si="39"/>
        <v>1.0001499705459722E-17</v>
      </c>
      <c r="AF47" s="143">
        <f t="shared" si="21"/>
        <v>-1.9981987285331961</v>
      </c>
    </row>
    <row r="48" spans="4:32" x14ac:dyDescent="0.25">
      <c r="G48" s="147">
        <f t="shared" si="40"/>
        <v>2.5582163027761</v>
      </c>
      <c r="H48" s="147">
        <f t="shared" si="22"/>
        <v>2.2619467105846525</v>
      </c>
      <c r="I48" s="147">
        <f t="shared" si="41"/>
        <v>2.8440000000000012</v>
      </c>
      <c r="J48" s="35"/>
      <c r="K48" s="156">
        <f t="shared" si="23"/>
        <v>-2.4335085779458989</v>
      </c>
      <c r="L48" s="8">
        <f t="shared" si="24"/>
        <v>-1.602387350371403</v>
      </c>
      <c r="M48" s="8">
        <f t="shared" si="25"/>
        <v>-7.3690155839381613E-2</v>
      </c>
      <c r="N48" s="8">
        <f t="shared" si="26"/>
        <v>3.0395106107027309E-2</v>
      </c>
      <c r="O48" s="8">
        <f t="shared" si="27"/>
        <v>2.0017147911913775E-3</v>
      </c>
      <c r="P48" s="8">
        <f t="shared" si="28"/>
        <v>1.0670239009885606E-4</v>
      </c>
      <c r="Q48" s="157">
        <f t="shared" si="19"/>
        <v>-1.6435739829224671</v>
      </c>
      <c r="R48" s="33"/>
      <c r="S48" s="136">
        <f t="shared" si="29"/>
        <v>-3.5058319436177992</v>
      </c>
      <c r="T48" s="137">
        <f t="shared" si="30"/>
        <v>-2.9198302987891305</v>
      </c>
      <c r="U48" s="137">
        <f t="shared" si="31"/>
        <v>-0.31788403518402464</v>
      </c>
      <c r="V48" s="137">
        <f t="shared" si="32"/>
        <v>0.68189400424050206</v>
      </c>
      <c r="W48" s="137">
        <f t="shared" si="33"/>
        <v>-0.26540601777711936</v>
      </c>
      <c r="X48" s="137">
        <f t="shared" si="34"/>
        <v>4.3627788228263693E-2</v>
      </c>
      <c r="Y48" s="138">
        <f t="shared" si="20"/>
        <v>-2.7775985592815089</v>
      </c>
      <c r="AA48" s="141">
        <f t="shared" si="35"/>
        <v>-2.01696817227044</v>
      </c>
      <c r="AB48" s="142">
        <f t="shared" si="36"/>
        <v>-0.12926967504643935</v>
      </c>
      <c r="AC48" s="142">
        <f t="shared" si="37"/>
        <v>7.2021516233440427E-2</v>
      </c>
      <c r="AD48" s="142">
        <f t="shared" si="38"/>
        <v>6.3432914486246505E-3</v>
      </c>
      <c r="AE48" s="142">
        <f t="shared" si="39"/>
        <v>4.5135980903375522E-4</v>
      </c>
      <c r="AF48" s="143">
        <f t="shared" si="21"/>
        <v>-2.067421679825781</v>
      </c>
    </row>
    <row r="49" spans="7:32" x14ac:dyDescent="0.25">
      <c r="G49" s="147">
        <f t="shared" si="40"/>
        <v>2.6292778667421026</v>
      </c>
      <c r="H49" s="147">
        <f t="shared" si="22"/>
        <v>2.3247785636564484</v>
      </c>
      <c r="I49" s="147">
        <f t="shared" si="41"/>
        <v>2.9230000000000014</v>
      </c>
      <c r="J49" s="35"/>
      <c r="K49" s="156">
        <f t="shared" si="23"/>
        <v>-2.6134116084057029</v>
      </c>
      <c r="L49" s="8">
        <f t="shared" si="24"/>
        <v>-1.7148632851719359</v>
      </c>
      <c r="M49" s="8">
        <f t="shared" si="25"/>
        <v>-2.4471919028525791E-2</v>
      </c>
      <c r="N49" s="8">
        <f t="shared" si="26"/>
        <v>2.6353439852152251E-2</v>
      </c>
      <c r="O49" s="8">
        <f t="shared" si="27"/>
        <v>2.0961339596015445E-3</v>
      </c>
      <c r="P49" s="8">
        <f t="shared" si="28"/>
        <v>1.9824111870539414E-4</v>
      </c>
      <c r="Q49" s="157">
        <f t="shared" si="19"/>
        <v>-1.7106873892700025</v>
      </c>
      <c r="R49" s="33"/>
      <c r="S49" s="136">
        <f t="shared" si="29"/>
        <v>-3.7650090826077935</v>
      </c>
      <c r="T49" s="137">
        <f t="shared" si="30"/>
        <v>-3.1356858433066312</v>
      </c>
      <c r="U49" s="137">
        <f t="shared" si="31"/>
        <v>-0.10652131330921641</v>
      </c>
      <c r="V49" s="137">
        <f t="shared" si="32"/>
        <v>0.59957132862483353</v>
      </c>
      <c r="W49" s="137">
        <f t="shared" si="33"/>
        <v>-0.28320054986382892</v>
      </c>
      <c r="X49" s="137">
        <f t="shared" si="34"/>
        <v>8.2984984572069403E-2</v>
      </c>
      <c r="Y49" s="138">
        <f t="shared" si="20"/>
        <v>-2.8428513932827735</v>
      </c>
      <c r="AA49" s="141">
        <f t="shared" si="35"/>
        <v>-2.1574780276595846</v>
      </c>
      <c r="AB49" s="142">
        <f t="shared" si="36"/>
        <v>-4.291747556242026E-2</v>
      </c>
      <c r="AC49" s="142">
        <f t="shared" si="37"/>
        <v>6.2439945276629778E-2</v>
      </c>
      <c r="AD49" s="142">
        <f t="shared" si="38"/>
        <v>6.6423874777236233E-3</v>
      </c>
      <c r="AE49" s="142">
        <f t="shared" si="39"/>
        <v>8.3857333758708124E-4</v>
      </c>
      <c r="AF49" s="143">
        <f t="shared" si="21"/>
        <v>-2.1304745971300645</v>
      </c>
    </row>
    <row r="50" spans="7:32" x14ac:dyDescent="0.25">
      <c r="G50" s="147">
        <f t="shared" si="40"/>
        <v>2.7003394307081052</v>
      </c>
      <c r="H50" s="147">
        <f t="shared" si="22"/>
        <v>2.3876104167282444</v>
      </c>
      <c r="I50" s="147">
        <f t="shared" si="41"/>
        <v>3.0020000000000016</v>
      </c>
      <c r="J50" s="35"/>
      <c r="K50" s="156">
        <f t="shared" si="23"/>
        <v>-2.7830006972013228</v>
      </c>
      <c r="L50" s="8">
        <f t="shared" si="24"/>
        <v>-1.8200521131610374</v>
      </c>
      <c r="M50" s="8">
        <f t="shared" si="25"/>
        <v>2.4261120597856914E-2</v>
      </c>
      <c r="N50" s="8">
        <f t="shared" si="26"/>
        <v>2.1509406120514545E-2</v>
      </c>
      <c r="O50" s="8">
        <f t="shared" si="27"/>
        <v>2.0585622284511372E-3</v>
      </c>
      <c r="P50" s="8">
        <f t="shared" si="28"/>
        <v>2.6675054875328598E-4</v>
      </c>
      <c r="Q50" s="157">
        <f t="shared" si="19"/>
        <v>-1.7719562736654615</v>
      </c>
      <c r="R50" s="33"/>
      <c r="S50" s="136">
        <f t="shared" si="29"/>
        <v>-4.0093274508177688</v>
      </c>
      <c r="T50" s="137">
        <f t="shared" si="30"/>
        <v>-3.3391662683591945</v>
      </c>
      <c r="U50" s="137">
        <f t="shared" si="31"/>
        <v>0.10652131330922632</v>
      </c>
      <c r="V50" s="137">
        <f t="shared" si="32"/>
        <v>0.49600853978076787</v>
      </c>
      <c r="W50" s="137">
        <f t="shared" si="33"/>
        <v>-0.28320054986382853</v>
      </c>
      <c r="X50" s="137">
        <f t="shared" si="34"/>
        <v>0.11421903243557512</v>
      </c>
      <c r="Y50" s="138">
        <f t="shared" si="20"/>
        <v>-2.9056179326974538</v>
      </c>
      <c r="AA50" s="141">
        <f t="shared" si="35"/>
        <v>-2.2887202284813375</v>
      </c>
      <c r="AB50" s="142">
        <f t="shared" si="36"/>
        <v>4.253617787539668E-2</v>
      </c>
      <c r="AC50" s="142">
        <f t="shared" si="37"/>
        <v>5.0958965558895251E-2</v>
      </c>
      <c r="AD50" s="142">
        <f t="shared" si="38"/>
        <v>6.5232179719981664E-3</v>
      </c>
      <c r="AE50" s="142">
        <f t="shared" si="39"/>
        <v>1.1283691236289098E-3</v>
      </c>
      <c r="AF50" s="143">
        <f t="shared" si="21"/>
        <v>-2.1875734979514183</v>
      </c>
    </row>
    <row r="51" spans="7:32" x14ac:dyDescent="0.25">
      <c r="G51" s="147">
        <f t="shared" si="40"/>
        <v>2.7714009946741078</v>
      </c>
      <c r="H51" s="147">
        <f t="shared" si="22"/>
        <v>2.4504422698000403</v>
      </c>
      <c r="I51" s="147">
        <f t="shared" si="41"/>
        <v>3.0810000000000017</v>
      </c>
      <c r="J51" s="35"/>
      <c r="K51" s="156">
        <f t="shared" si="23"/>
        <v>-2.9416065536771674</v>
      </c>
      <c r="L51" s="8">
        <f t="shared" si="24"/>
        <v>-1.9174340241766612</v>
      </c>
      <c r="M51" s="8">
        <f t="shared" si="25"/>
        <v>7.1782956649969448E-2</v>
      </c>
      <c r="N51" s="8">
        <f t="shared" si="26"/>
        <v>1.6040556224328394E-2</v>
      </c>
      <c r="O51" s="8">
        <f t="shared" si="27"/>
        <v>1.8949319726070052E-3</v>
      </c>
      <c r="P51" s="8">
        <f t="shared" si="28"/>
        <v>3.0662769707795007E-4</v>
      </c>
      <c r="Q51" s="157">
        <f t="shared" si="19"/>
        <v>-1.8274089516326784</v>
      </c>
      <c r="R51" s="33"/>
      <c r="S51" s="136">
        <f t="shared" si="29"/>
        <v>-4.2378228352668463</v>
      </c>
      <c r="T51" s="137">
        <f t="shared" si="30"/>
        <v>-3.5294685296705031</v>
      </c>
      <c r="U51" s="137">
        <f t="shared" si="31"/>
        <v>0.31788403518403435</v>
      </c>
      <c r="V51" s="137">
        <f t="shared" si="32"/>
        <v>0.3748744011335704</v>
      </c>
      <c r="W51" s="137">
        <f t="shared" si="33"/>
        <v>-0.26540601777711809</v>
      </c>
      <c r="X51" s="137">
        <f t="shared" si="34"/>
        <v>0.13427252559349309</v>
      </c>
      <c r="Y51" s="138">
        <f t="shared" si="20"/>
        <v>-2.9678435855365235</v>
      </c>
      <c r="AA51" s="141">
        <f t="shared" si="35"/>
        <v>-2.4100255031035935</v>
      </c>
      <c r="AB51" s="142">
        <f t="shared" si="36"/>
        <v>0.12581990761753906</v>
      </c>
      <c r="AC51" s="142">
        <f t="shared" si="37"/>
        <v>3.7999508516183812E-2</v>
      </c>
      <c r="AD51" s="142">
        <f t="shared" si="38"/>
        <v>6.0045992943672417E-3</v>
      </c>
      <c r="AE51" s="142">
        <f t="shared" si="39"/>
        <v>1.2970471456452803E-3</v>
      </c>
      <c r="AF51" s="143">
        <f t="shared" si="21"/>
        <v>-2.2389044405298577</v>
      </c>
    </row>
    <row r="52" spans="7:32" x14ac:dyDescent="0.25">
      <c r="G52" s="147">
        <f t="shared" si="40"/>
        <v>2.8424625586401104</v>
      </c>
      <c r="H52" s="147">
        <f t="shared" si="22"/>
        <v>2.5132741228718363</v>
      </c>
      <c r="I52" s="147">
        <f t="shared" si="41"/>
        <v>3.1600000000000019</v>
      </c>
      <c r="J52" s="35"/>
      <c r="K52" s="156">
        <f t="shared" si="23"/>
        <v>-3.0886032329778494</v>
      </c>
      <c r="L52" s="8">
        <f t="shared" si="24"/>
        <v>-2.0065419288800248</v>
      </c>
      <c r="M52" s="8">
        <f t="shared" si="25"/>
        <v>0.1173570452762283</v>
      </c>
      <c r="N52" s="8">
        <f t="shared" si="26"/>
        <v>1.0150669948669679E-2</v>
      </c>
      <c r="O52" s="8">
        <f t="shared" si="27"/>
        <v>1.6191308505655768E-3</v>
      </c>
      <c r="P52" s="8">
        <f t="shared" si="28"/>
        <v>3.151609230218182E-4</v>
      </c>
      <c r="Q52" s="157">
        <f t="shared" si="19"/>
        <v>-1.8770999218815394</v>
      </c>
      <c r="R52" s="33"/>
      <c r="S52" s="136">
        <f t="shared" si="29"/>
        <v>-4.4495934690622168</v>
      </c>
      <c r="T52" s="137">
        <f t="shared" si="30"/>
        <v>-3.7058415911559939</v>
      </c>
      <c r="U52" s="137">
        <f t="shared" si="31"/>
        <v>0.52423353592927202</v>
      </c>
      <c r="V52" s="137">
        <f t="shared" si="32"/>
        <v>0.24046014993534837</v>
      </c>
      <c r="W52" s="137">
        <f t="shared" si="33"/>
        <v>-0.23093504949841692</v>
      </c>
      <c r="X52" s="137">
        <f t="shared" si="34"/>
        <v>0.14118248841462352</v>
      </c>
      <c r="Y52" s="138">
        <f t="shared" si="20"/>
        <v>-3.0309004663751669</v>
      </c>
      <c r="AA52" s="141">
        <f t="shared" si="35"/>
        <v>-2.5207947930707157</v>
      </c>
      <c r="AB52" s="142">
        <f t="shared" si="36"/>
        <v>0.20564296589047154</v>
      </c>
      <c r="AC52" s="142">
        <f t="shared" si="37"/>
        <v>2.4044638536351224E-2</v>
      </c>
      <c r="AD52" s="142">
        <f t="shared" si="38"/>
        <v>5.1305567148293542E-3</v>
      </c>
      <c r="AE52" s="142">
        <f t="shared" si="39"/>
        <v>1.3331381720775139E-3</v>
      </c>
      <c r="AF52" s="143">
        <f t="shared" si="21"/>
        <v>-2.2846434937569859</v>
      </c>
    </row>
    <row r="53" spans="7:32" x14ac:dyDescent="0.25">
      <c r="G53" s="147">
        <f t="shared" si="40"/>
        <v>2.913524122606113</v>
      </c>
      <c r="H53" s="147">
        <f t="shared" si="22"/>
        <v>2.5761059759436322</v>
      </c>
      <c r="I53" s="147">
        <f t="shared" si="41"/>
        <v>3.2390000000000021</v>
      </c>
      <c r="J53" s="35"/>
      <c r="K53" s="156">
        <f t="shared" si="23"/>
        <v>-3.2234106063665644</v>
      </c>
      <c r="L53" s="8">
        <f t="shared" si="24"/>
        <v>-2.0870003610375427</v>
      </c>
      <c r="M53" s="8">
        <f t="shared" si="25"/>
        <v>0.16027234726295839</v>
      </c>
      <c r="N53" s="8">
        <f t="shared" si="26"/>
        <v>4.0603234084319335E-3</v>
      </c>
      <c r="O53" s="8">
        <f t="shared" si="27"/>
        <v>1.2522133266404834E-3</v>
      </c>
      <c r="P53" s="8">
        <f t="shared" si="28"/>
        <v>2.9284371897792054E-4</v>
      </c>
      <c r="Q53" s="157">
        <f t="shared" si="19"/>
        <v>-1.921122633320534</v>
      </c>
      <c r="R53" s="33"/>
      <c r="S53" s="136">
        <f t="shared" si="29"/>
        <v>-4.6438035902610881</v>
      </c>
      <c r="T53" s="137">
        <f t="shared" si="30"/>
        <v>-3.8675893889191699</v>
      </c>
      <c r="U53" s="137">
        <f t="shared" si="31"/>
        <v>0.72231556065097025</v>
      </c>
      <c r="V53" s="137">
        <f t="shared" si="32"/>
        <v>9.7527478046032817E-2</v>
      </c>
      <c r="W53" s="137">
        <f t="shared" si="33"/>
        <v>-0.18195358274002893</v>
      </c>
      <c r="X53" s="137">
        <f t="shared" si="34"/>
        <v>0.13427252559349237</v>
      </c>
      <c r="Y53" s="138">
        <f t="shared" si="20"/>
        <v>-3.0954274073687031</v>
      </c>
      <c r="AA53" s="141">
        <f t="shared" si="35"/>
        <v>-2.6205551609325779</v>
      </c>
      <c r="AB53" s="142">
        <f t="shared" si="36"/>
        <v>0.28075972972357355</v>
      </c>
      <c r="AC53" s="142">
        <f t="shared" si="37"/>
        <v>9.6171712283655841E-3</v>
      </c>
      <c r="AD53" s="142">
        <f t="shared" si="38"/>
        <v>3.9678250905165304E-3</v>
      </c>
      <c r="AE53" s="142">
        <f t="shared" si="39"/>
        <v>1.2387310385715666E-3</v>
      </c>
      <c r="AF53" s="143">
        <f t="shared" si="21"/>
        <v>-2.3249717038515501</v>
      </c>
    </row>
    <row r="54" spans="7:32" x14ac:dyDescent="0.25">
      <c r="G54" s="147">
        <f t="shared" si="40"/>
        <v>2.9845856865721156</v>
      </c>
      <c r="H54" s="147">
        <f t="shared" si="22"/>
        <v>2.6389378290154282</v>
      </c>
      <c r="I54" s="147">
        <f t="shared" si="41"/>
        <v>3.3180000000000023</v>
      </c>
      <c r="J54" s="35"/>
      <c r="K54" s="156">
        <f t="shared" si="23"/>
        <v>-3.3454966507281765</v>
      </c>
      <c r="L54" s="8">
        <f t="shared" si="24"/>
        <v>-2.1585550650052769</v>
      </c>
      <c r="M54" s="8">
        <f t="shared" si="25"/>
        <v>0.19988126823416949</v>
      </c>
      <c r="N54" s="8">
        <f t="shared" si="26"/>
        <v>-2.0056316411063615E-3</v>
      </c>
      <c r="O54" s="8">
        <f t="shared" si="27"/>
        <v>8.2072673427564748E-4</v>
      </c>
      <c r="P54" s="8">
        <f t="shared" si="28"/>
        <v>2.4326634993096467E-4</v>
      </c>
      <c r="Q54" s="157">
        <f t="shared" si="19"/>
        <v>-1.9596154353280071</v>
      </c>
      <c r="R54" s="33"/>
      <c r="S54" s="136">
        <f t="shared" si="29"/>
        <v>-4.8196867402412549</v>
      </c>
      <c r="T54" s="137">
        <f t="shared" si="30"/>
        <v>-4.0140735782978005</v>
      </c>
      <c r="U54" s="137">
        <f t="shared" si="31"/>
        <v>0.90900623749080189</v>
      </c>
      <c r="V54" s="137">
        <f t="shared" si="32"/>
        <v>-4.886015337466746E-2</v>
      </c>
      <c r="W54" s="137">
        <f t="shared" si="33"/>
        <v>-0.12153930319961737</v>
      </c>
      <c r="X54" s="137">
        <f t="shared" si="34"/>
        <v>0.11421903243557371</v>
      </c>
      <c r="Y54" s="138">
        <f t="shared" si="20"/>
        <v>-3.1612477649457098</v>
      </c>
      <c r="AA54" s="141">
        <f t="shared" si="35"/>
        <v>-2.7090025343188913</v>
      </c>
      <c r="AB54" s="142">
        <f t="shared" si="36"/>
        <v>0.3500377282301193</v>
      </c>
      <c r="AC54" s="142">
        <f t="shared" si="37"/>
        <v>-4.7500618228506694E-3</v>
      </c>
      <c r="AD54" s="142">
        <f t="shared" si="38"/>
        <v>2.6005423926881354E-3</v>
      </c>
      <c r="AE54" s="142">
        <f t="shared" si="39"/>
        <v>1.0290141196760373E-3</v>
      </c>
      <c r="AF54" s="143">
        <f t="shared" si="21"/>
        <v>-2.3600853113992586</v>
      </c>
    </row>
    <row r="55" spans="7:32" x14ac:dyDescent="0.25">
      <c r="G55" s="147">
        <f t="shared" si="40"/>
        <v>3.0556472505381183</v>
      </c>
      <c r="H55" s="147">
        <f t="shared" si="22"/>
        <v>2.7017696820872241</v>
      </c>
      <c r="I55" s="147">
        <f t="shared" si="41"/>
        <v>3.3970000000000025</v>
      </c>
      <c r="J55" s="35"/>
      <c r="K55" s="156">
        <f t="shared" si="23"/>
        <v>-3.4543795482213993</v>
      </c>
      <c r="L55" s="8">
        <f t="shared" si="24"/>
        <v>-2.2210883599029163</v>
      </c>
      <c r="M55" s="8">
        <f t="shared" si="25"/>
        <v>0.23563244015595183</v>
      </c>
      <c r="N55" s="8">
        <f t="shared" si="26"/>
        <v>-7.8316035345735949E-3</v>
      </c>
      <c r="O55" s="8">
        <f t="shared" si="27"/>
        <v>3.5437775633005751E-4</v>
      </c>
      <c r="P55" s="8">
        <f t="shared" si="28"/>
        <v>1.7257979648523957E-4</v>
      </c>
      <c r="Q55" s="157">
        <f t="shared" si="19"/>
        <v>-1.9927605657287228</v>
      </c>
      <c r="R55" s="33"/>
      <c r="S55" s="136">
        <f t="shared" si="29"/>
        <v>-4.9765487885631119</v>
      </c>
      <c r="T55" s="137">
        <f t="shared" si="30"/>
        <v>-4.1447160531186693</v>
      </c>
      <c r="U55" s="137">
        <f t="shared" si="31"/>
        <v>1.0813613429513982</v>
      </c>
      <c r="V55" s="137">
        <f t="shared" si="32"/>
        <v>-0.19351688950320112</v>
      </c>
      <c r="W55" s="137">
        <f t="shared" si="33"/>
        <v>-5.348826224888413E-2</v>
      </c>
      <c r="X55" s="137">
        <f t="shared" si="34"/>
        <v>8.2984984572067488E-2</v>
      </c>
      <c r="Y55" s="138">
        <f t="shared" si="20"/>
        <v>-3.2273748773472888</v>
      </c>
      <c r="AA55" s="141">
        <f t="shared" si="35"/>
        <v>-2.7860241676751372</v>
      </c>
      <c r="AB55" s="142">
        <f t="shared" si="36"/>
        <v>0.41251644598367143</v>
      </c>
      <c r="AC55" s="142">
        <f t="shared" si="37"/>
        <v>-1.8546367131487888E-2</v>
      </c>
      <c r="AD55" s="142">
        <f t="shared" si="38"/>
        <v>1.1228521779126162E-3</v>
      </c>
      <c r="AE55" s="142">
        <f t="shared" si="39"/>
        <v>7.3000752942182134E-4</v>
      </c>
      <c r="AF55" s="143">
        <f t="shared" si="21"/>
        <v>-2.3902012291156192</v>
      </c>
    </row>
    <row r="56" spans="7:32" x14ac:dyDescent="0.25">
      <c r="G56" s="147">
        <f t="shared" si="40"/>
        <v>3.1267088145041209</v>
      </c>
      <c r="H56" s="147">
        <f t="shared" si="22"/>
        <v>2.7646015351590201</v>
      </c>
      <c r="I56" s="147">
        <f t="shared" si="41"/>
        <v>3.4760000000000026</v>
      </c>
      <c r="J56" s="35"/>
      <c r="K56" s="156">
        <f t="shared" si="23"/>
        <v>-3.5496295877936914</v>
      </c>
      <c r="L56" s="8">
        <f t="shared" si="24"/>
        <v>-2.2746176837536187</v>
      </c>
      <c r="M56" s="8">
        <f t="shared" si="25"/>
        <v>0.26709233237870544</v>
      </c>
      <c r="N56" s="8">
        <f t="shared" si="26"/>
        <v>-1.322343065777765E-2</v>
      </c>
      <c r="O56" s="8">
        <f t="shared" si="27"/>
        <v>-1.1655623826127677E-4</v>
      </c>
      <c r="P56" s="8">
        <f t="shared" si="28"/>
        <v>8.8637863249888129E-5</v>
      </c>
      <c r="Q56" s="157">
        <f t="shared" si="19"/>
        <v>-2.0207767004077026</v>
      </c>
      <c r="R56" s="33"/>
      <c r="S56" s="136">
        <f t="shared" si="29"/>
        <v>-5.1137706723853871</v>
      </c>
      <c r="T56" s="137">
        <f t="shared" si="30"/>
        <v>-4.2590012272185254</v>
      </c>
      <c r="U56" s="137">
        <f t="shared" si="31"/>
        <v>1.2366627340596961</v>
      </c>
      <c r="V56" s="137">
        <f t="shared" si="32"/>
        <v>-0.33131819334466694</v>
      </c>
      <c r="W56" s="137">
        <f t="shared" si="33"/>
        <v>1.7923642935014552E-2</v>
      </c>
      <c r="X56" s="137">
        <f t="shared" si="34"/>
        <v>4.3627788228261438E-2</v>
      </c>
      <c r="Y56" s="138">
        <f t="shared" si="20"/>
        <v>-3.2921052553402199</v>
      </c>
      <c r="AA56" s="141">
        <f t="shared" si="35"/>
        <v>-2.8516969544303765</v>
      </c>
      <c r="AB56" s="142">
        <f t="shared" si="36"/>
        <v>0.46744600732136288</v>
      </c>
      <c r="AC56" s="142">
        <f t="shared" si="37"/>
        <v>-3.1312092885267817E-2</v>
      </c>
      <c r="AD56" s="142">
        <f t="shared" si="38"/>
        <v>-3.6930252400710231E-4</v>
      </c>
      <c r="AE56" s="142">
        <f t="shared" si="39"/>
        <v>3.7493389811194162E-4</v>
      </c>
      <c r="AF56" s="143">
        <f t="shared" si="21"/>
        <v>-2.4155574086201765</v>
      </c>
    </row>
    <row r="57" spans="7:32" x14ac:dyDescent="0.25">
      <c r="G57" s="147">
        <f t="shared" si="40"/>
        <v>3.1977703784701235</v>
      </c>
      <c r="H57" s="147">
        <f t="shared" si="22"/>
        <v>2.827433388230816</v>
      </c>
      <c r="I57" s="147">
        <f t="shared" si="41"/>
        <v>3.5550000000000028</v>
      </c>
      <c r="J57" s="35"/>
      <c r="K57" s="156">
        <f t="shared" si="23"/>
        <v>-3.6308708610544649</v>
      </c>
      <c r="L57" s="8">
        <f t="shared" si="24"/>
        <v>-2.3192774944825287</v>
      </c>
      <c r="M57" s="8">
        <f t="shared" si="25"/>
        <v>0.2939521085885905</v>
      </c>
      <c r="N57" s="8">
        <f t="shared" si="26"/>
        <v>-1.8017162119343934E-2</v>
      </c>
      <c r="O57" s="8">
        <f t="shared" si="27"/>
        <v>-5.6361375267552111E-4</v>
      </c>
      <c r="P57" s="8">
        <f t="shared" si="28"/>
        <v>-2.8358819611890677E-18</v>
      </c>
      <c r="Q57" s="157">
        <f t="shared" si="19"/>
        <v>-2.0439061617659577</v>
      </c>
      <c r="R57" s="33"/>
      <c r="S57" s="136">
        <f t="shared" si="29"/>
        <v>-5.2308108396233477</v>
      </c>
      <c r="T57" s="137">
        <f t="shared" si="30"/>
        <v>-4.356478069227129</v>
      </c>
      <c r="U57" s="137">
        <f t="shared" si="31"/>
        <v>1.3724612151053635</v>
      </c>
      <c r="V57" s="137">
        <f t="shared" si="32"/>
        <v>-0.45738238501065676</v>
      </c>
      <c r="W57" s="137">
        <f t="shared" si="33"/>
        <v>8.8209339714758625E-2</v>
      </c>
      <c r="X57" s="137">
        <f t="shared" si="34"/>
        <v>-1.4269065949995801E-15</v>
      </c>
      <c r="Y57" s="138">
        <f t="shared" si="20"/>
        <v>-3.3531898994176652</v>
      </c>
      <c r="AA57" s="141">
        <f t="shared" si="35"/>
        <v>-2.9062616503761487</v>
      </c>
      <c r="AB57" s="142">
        <f t="shared" si="36"/>
        <v>0.51429920756947123</v>
      </c>
      <c r="AC57" s="142">
        <f t="shared" si="37"/>
        <v>-4.2659460540458889E-2</v>
      </c>
      <c r="AD57" s="142">
        <f t="shared" si="38"/>
        <v>-1.7857438298563573E-3</v>
      </c>
      <c r="AE57" s="142">
        <f t="shared" si="39"/>
        <v>-1.1995590886440691E-17</v>
      </c>
      <c r="AF57" s="143">
        <f t="shared" si="21"/>
        <v>-2.4364076471769929</v>
      </c>
    </row>
    <row r="58" spans="7:32" x14ac:dyDescent="0.25">
      <c r="G58" s="147">
        <f t="shared" si="40"/>
        <v>3.2688319424361261</v>
      </c>
      <c r="H58" s="147">
        <f t="shared" si="22"/>
        <v>2.890265241302612</v>
      </c>
      <c r="I58" s="147">
        <f t="shared" si="41"/>
        <v>3.634000000000003</v>
      </c>
      <c r="J58" s="35"/>
      <c r="K58" s="156">
        <f t="shared" si="23"/>
        <v>-3.6977827458137664</v>
      </c>
      <c r="L58" s="8">
        <f t="shared" si="24"/>
        <v>-2.3552873503215923</v>
      </c>
      <c r="M58" s="8">
        <f t="shared" si="25"/>
        <v>0.31601929256853123</v>
      </c>
      <c r="N58" s="8">
        <f t="shared" si="26"/>
        <v>-2.2083314963630748E-2</v>
      </c>
      <c r="O58" s="8">
        <f t="shared" si="27"/>
        <v>-9.6196334905463842E-4</v>
      </c>
      <c r="P58" s="8">
        <f t="shared" si="28"/>
        <v>-8.5008917701310637E-5</v>
      </c>
      <c r="Q58" s="157">
        <f t="shared" si="19"/>
        <v>-2.0623983449834471</v>
      </c>
      <c r="R58" s="33"/>
      <c r="S58" s="136">
        <f t="shared" si="29"/>
        <v>-5.3272073862074736</v>
      </c>
      <c r="T58" s="137">
        <f t="shared" si="30"/>
        <v>-4.4367618825820028</v>
      </c>
      <c r="U58" s="137">
        <f t="shared" si="31"/>
        <v>1.48661516292023</v>
      </c>
      <c r="V58" s="137">
        <f t="shared" si="32"/>
        <v>-0.56724357766303024</v>
      </c>
      <c r="W58" s="137">
        <f t="shared" si="33"/>
        <v>0.15295251926896583</v>
      </c>
      <c r="X58" s="137">
        <f t="shared" si="34"/>
        <v>-4.3627788228264151E-2</v>
      </c>
      <c r="Y58" s="138">
        <f t="shared" si="20"/>
        <v>-3.4080655662841015</v>
      </c>
      <c r="AA58" s="141">
        <f t="shared" si="35"/>
        <v>-2.950076865948402</v>
      </c>
      <c r="AB58" s="142">
        <f t="shared" si="36"/>
        <v>0.55275603161020292</v>
      </c>
      <c r="AC58" s="142">
        <f t="shared" si="37"/>
        <v>-5.22826190573666E-2</v>
      </c>
      <c r="AD58" s="142">
        <f t="shared" si="38"/>
        <v>-3.047807812673936E-3</v>
      </c>
      <c r="AE58" s="142">
        <f t="shared" si="39"/>
        <v>-3.5958053259097498E-4</v>
      </c>
      <c r="AF58" s="143">
        <f t="shared" si="21"/>
        <v>-2.4530108417408307</v>
      </c>
    </row>
    <row r="59" spans="7:32" x14ac:dyDescent="0.25">
      <c r="G59" s="147">
        <f t="shared" si="40"/>
        <v>3.3398935064021287</v>
      </c>
      <c r="H59" s="147">
        <f t="shared" si="22"/>
        <v>2.9530970943744079</v>
      </c>
      <c r="I59" s="147">
        <f t="shared" si="41"/>
        <v>3.7130000000000032</v>
      </c>
      <c r="J59" s="35"/>
      <c r="K59" s="156">
        <f t="shared" si="23"/>
        <v>-3.7501011714315831</v>
      </c>
      <c r="L59" s="8">
        <f t="shared" si="24"/>
        <v>-2.382910988175349</v>
      </c>
      <c r="M59" s="8">
        <f t="shared" si="25"/>
        <v>0.33319684643729724</v>
      </c>
      <c r="N59" s="8">
        <f t="shared" si="26"/>
        <v>-2.532659423240792E-2</v>
      </c>
      <c r="O59" s="8">
        <f t="shared" si="27"/>
        <v>-1.2914614812989927E-3</v>
      </c>
      <c r="P59" s="8">
        <f t="shared" si="28"/>
        <v>-1.5903415478481919E-4</v>
      </c>
      <c r="Q59" s="157">
        <f t="shared" si="19"/>
        <v>-2.0764912316065436</v>
      </c>
      <c r="R59" s="33"/>
      <c r="S59" s="136">
        <f t="shared" si="29"/>
        <v>-5.4025798790077895</v>
      </c>
      <c r="T59" s="137">
        <f t="shared" si="30"/>
        <v>-4.4995358237500236</v>
      </c>
      <c r="U59" s="137">
        <f t="shared" si="31"/>
        <v>1.577324301554992</v>
      </c>
      <c r="V59" s="137">
        <f t="shared" si="32"/>
        <v>-0.65700988378158909</v>
      </c>
      <c r="W59" s="137">
        <f t="shared" si="33"/>
        <v>0.20808512951748698</v>
      </c>
      <c r="X59" s="137">
        <f t="shared" si="34"/>
        <v>-8.298498457207E-2</v>
      </c>
      <c r="Y59" s="138">
        <f t="shared" si="20"/>
        <v>-3.4541212610312035</v>
      </c>
      <c r="AA59" s="141">
        <f t="shared" si="35"/>
        <v>-2.9835596256000398</v>
      </c>
      <c r="AB59" s="142">
        <f t="shared" si="36"/>
        <v>0.58266531168858615</v>
      </c>
      <c r="AC59" s="142">
        <f t="shared" si="37"/>
        <v>-5.9956885589419959E-2</v>
      </c>
      <c r="AD59" s="142">
        <f t="shared" si="38"/>
        <v>-4.0916939757889501E-3</v>
      </c>
      <c r="AE59" s="142">
        <f t="shared" si="39"/>
        <v>-6.7269858345869239E-4</v>
      </c>
      <c r="AF59" s="143">
        <f t="shared" si="21"/>
        <v>-2.4656155920601219</v>
      </c>
    </row>
    <row r="60" spans="7:32" x14ac:dyDescent="0.25">
      <c r="G60" s="147">
        <f t="shared" si="40"/>
        <v>3.4109550703681313</v>
      </c>
      <c r="H60" s="147">
        <f t="shared" si="22"/>
        <v>3.0159289474462039</v>
      </c>
      <c r="I60" s="147">
        <f t="shared" si="41"/>
        <v>3.7920000000000034</v>
      </c>
      <c r="J60" s="35"/>
      <c r="K60" s="156">
        <f t="shared" si="23"/>
        <v>-3.7876196609840171</v>
      </c>
      <c r="L60" s="8">
        <f t="shared" si="24"/>
        <v>-2.4024122576243809</v>
      </c>
      <c r="M60" s="8">
        <f t="shared" si="25"/>
        <v>0.34545450182902276</v>
      </c>
      <c r="N60" s="8">
        <f t="shared" si="26"/>
        <v>-2.7682074401451814E-2</v>
      </c>
      <c r="O60" s="8">
        <f t="shared" si="27"/>
        <v>-1.5369834940067478E-3</v>
      </c>
      <c r="P60" s="8">
        <f t="shared" si="28"/>
        <v>-2.1615900022667469E-4</v>
      </c>
      <c r="Q60" s="157">
        <f t="shared" si="19"/>
        <v>-2.0863929726910433</v>
      </c>
      <c r="R60" s="33"/>
      <c r="S60" s="136">
        <f t="shared" si="29"/>
        <v>-5.4566308572296292</v>
      </c>
      <c r="T60" s="137">
        <f t="shared" si="30"/>
        <v>-4.5445521526640835</v>
      </c>
      <c r="U60" s="137">
        <f t="shared" si="31"/>
        <v>1.6431580937063663</v>
      </c>
      <c r="V60" s="137">
        <f t="shared" si="32"/>
        <v>-0.72350128721975537</v>
      </c>
      <c r="W60" s="137">
        <f t="shared" si="33"/>
        <v>0.25014298579485039</v>
      </c>
      <c r="X60" s="137">
        <f t="shared" si="34"/>
        <v>-0.11421903243557552</v>
      </c>
      <c r="Y60" s="138">
        <f t="shared" si="20"/>
        <v>-3.4889713928181973</v>
      </c>
      <c r="AA60" s="141">
        <f t="shared" si="35"/>
        <v>-3.0071209270671115</v>
      </c>
      <c r="AB60" s="142">
        <f t="shared" si="36"/>
        <v>0.60399226555480945</v>
      </c>
      <c r="AC60" s="142">
        <f t="shared" si="37"/>
        <v>-6.5529551131134345E-2</v>
      </c>
      <c r="AD60" s="142">
        <f t="shared" si="38"/>
        <v>-4.8695091476690837E-3</v>
      </c>
      <c r="AE60" s="142">
        <f t="shared" si="39"/>
        <v>-9.1432838608917057E-4</v>
      </c>
      <c r="AF60" s="143">
        <f t="shared" si="21"/>
        <v>-2.4744420501771947</v>
      </c>
    </row>
    <row r="61" spans="7:32" x14ac:dyDescent="0.25">
      <c r="G61" s="147">
        <f t="shared" si="40"/>
        <v>3.4820166343341339</v>
      </c>
      <c r="H61" s="147">
        <f t="shared" si="22"/>
        <v>3.0787608005179998</v>
      </c>
      <c r="I61" s="147">
        <f t="shared" si="41"/>
        <v>3.8710000000000035</v>
      </c>
      <c r="J61" s="35"/>
      <c r="K61" s="156">
        <f t="shared" si="23"/>
        <v>-3.810190146133372</v>
      </c>
      <c r="L61" s="8">
        <f t="shared" si="24"/>
        <v>-2.4140138144311698</v>
      </c>
      <c r="M61" s="8">
        <f t="shared" si="25"/>
        <v>0.35279824352267941</v>
      </c>
      <c r="N61" s="8">
        <f t="shared" si="26"/>
        <v>-2.9109493312227491E-2</v>
      </c>
      <c r="O61" s="8">
        <f t="shared" si="27"/>
        <v>-1.6882282278711561E-3</v>
      </c>
      <c r="P61" s="8">
        <f t="shared" si="28"/>
        <v>-2.521269464410935E-4</v>
      </c>
      <c r="Q61" s="157">
        <f t="shared" si="19"/>
        <v>-2.0922654193950301</v>
      </c>
      <c r="R61" s="33"/>
      <c r="S61" s="136">
        <f t="shared" si="29"/>
        <v>-5.4891470063554939</v>
      </c>
      <c r="T61" s="137">
        <f t="shared" si="30"/>
        <v>-4.5716332104399653</v>
      </c>
      <c r="U61" s="137">
        <f t="shared" si="31"/>
        <v>1.6830783011449248</v>
      </c>
      <c r="V61" s="137">
        <f t="shared" si="32"/>
        <v>-0.76436229686193224</v>
      </c>
      <c r="W61" s="137">
        <f t="shared" si="33"/>
        <v>0.27648343831317401</v>
      </c>
      <c r="X61" s="137">
        <f t="shared" si="34"/>
        <v>-0.13427252559349323</v>
      </c>
      <c r="Y61" s="138">
        <f t="shared" si="20"/>
        <v>-3.5107062934372917</v>
      </c>
      <c r="AA61" s="141">
        <f t="shared" si="35"/>
        <v>-3.0211049676462847</v>
      </c>
      <c r="AB61" s="142">
        <f t="shared" si="36"/>
        <v>0.61676263429555123</v>
      </c>
      <c r="AC61" s="142">
        <f t="shared" si="37"/>
        <v>-6.8906190145070295E-2</v>
      </c>
      <c r="AD61" s="142">
        <f t="shared" si="38"/>
        <v>-5.3486419199979575E-3</v>
      </c>
      <c r="AE61" s="142">
        <f t="shared" si="39"/>
        <v>-1.0664668548108322E-3</v>
      </c>
      <c r="AF61" s="143">
        <f t="shared" si="21"/>
        <v>-2.4796636322706131</v>
      </c>
    </row>
    <row r="62" spans="7:32" x14ac:dyDescent="0.25">
      <c r="G62" s="147">
        <f t="shared" si="40"/>
        <v>3.5530781983001365</v>
      </c>
      <c r="H62" s="147">
        <f t="shared" si="22"/>
        <v>3.1415926535897958</v>
      </c>
      <c r="I62" s="147">
        <f t="shared" si="41"/>
        <v>3.9500000000000037</v>
      </c>
      <c r="J62" s="35"/>
      <c r="K62" s="156">
        <f t="shared" si="23"/>
        <v>-3.8177235514862375</v>
      </c>
      <c r="L62" s="8">
        <f t="shared" si="24"/>
        <v>-2.4178637187826784</v>
      </c>
      <c r="M62" s="8">
        <f t="shared" si="25"/>
        <v>0.35524371510993102</v>
      </c>
      <c r="N62" s="8">
        <f t="shared" si="26"/>
        <v>-2.9587502906067285E-2</v>
      </c>
      <c r="O62" s="8">
        <f t="shared" si="27"/>
        <v>-1.7392828593691683E-3</v>
      </c>
      <c r="P62" s="8">
        <f t="shared" si="28"/>
        <v>-2.6439696753749464E-4</v>
      </c>
      <c r="Q62" s="157">
        <f t="shared" si="19"/>
        <v>-2.0942111864057211</v>
      </c>
      <c r="R62" s="33"/>
      <c r="S62" s="136">
        <f t="shared" si="29"/>
        <v>-5.5</v>
      </c>
      <c r="T62" s="137">
        <f t="shared" si="30"/>
        <v>-4.5806721205147856</v>
      </c>
      <c r="U62" s="137">
        <f t="shared" si="31"/>
        <v>1.6964553583521853</v>
      </c>
      <c r="V62" s="137">
        <f t="shared" si="32"/>
        <v>-0.77814539107059111</v>
      </c>
      <c r="W62" s="137">
        <f t="shared" si="33"/>
        <v>0.28545141956732339</v>
      </c>
      <c r="X62" s="137">
        <f t="shared" si="34"/>
        <v>-0.14118248841462352</v>
      </c>
      <c r="Y62" s="138">
        <f t="shared" si="20"/>
        <v>-3.5180932220804917</v>
      </c>
      <c r="AA62" s="141">
        <f t="shared" si="35"/>
        <v>-3.0257397464423681</v>
      </c>
      <c r="AB62" s="142">
        <f t="shared" si="36"/>
        <v>0.62101396091707706</v>
      </c>
      <c r="AC62" s="142">
        <f t="shared" si="37"/>
        <v>-7.0036879248205647E-2</v>
      </c>
      <c r="AD62" s="142">
        <f t="shared" si="38"/>
        <v>-5.5103773947330573E-3</v>
      </c>
      <c r="AE62" s="142">
        <f t="shared" si="39"/>
        <v>-1.118366886473038E-3</v>
      </c>
      <c r="AF62" s="143">
        <f t="shared" si="21"/>
        <v>-2.4813914090547029</v>
      </c>
    </row>
    <row r="63" spans="7:32" x14ac:dyDescent="0.25">
      <c r="G63" s="147">
        <f t="shared" si="40"/>
        <v>3.6241397622661391</v>
      </c>
      <c r="H63" s="147">
        <f t="shared" si="22"/>
        <v>3.2044245066615917</v>
      </c>
      <c r="I63" s="147">
        <f t="shared" si="41"/>
        <v>4.0290000000000035</v>
      </c>
      <c r="J63" s="35"/>
      <c r="K63" s="156">
        <f t="shared" si="23"/>
        <v>-3.8101901461333711</v>
      </c>
      <c r="L63" s="8">
        <f t="shared" si="24"/>
        <v>-2.4140138144311694</v>
      </c>
      <c r="M63" s="8">
        <f t="shared" si="25"/>
        <v>0.35279824352267897</v>
      </c>
      <c r="N63" s="8">
        <f t="shared" si="26"/>
        <v>-2.9109493312227407E-2</v>
      </c>
      <c r="O63" s="8">
        <f t="shared" si="27"/>
        <v>-1.6882282278711475E-3</v>
      </c>
      <c r="P63" s="8">
        <f t="shared" si="28"/>
        <v>-2.5212694644109155E-4</v>
      </c>
      <c r="Q63" s="157">
        <f t="shared" si="19"/>
        <v>-2.0922654193950301</v>
      </c>
      <c r="R63" s="33"/>
      <c r="S63" s="136">
        <f t="shared" si="29"/>
        <v>-5.489147006355493</v>
      </c>
      <c r="T63" s="137">
        <f t="shared" si="30"/>
        <v>-4.5716332104399644</v>
      </c>
      <c r="U63" s="137">
        <f t="shared" si="31"/>
        <v>1.6830783011449226</v>
      </c>
      <c r="V63" s="137">
        <f t="shared" si="32"/>
        <v>-0.76436229686193002</v>
      </c>
      <c r="W63" s="137">
        <f t="shared" si="33"/>
        <v>0.27648343831317257</v>
      </c>
      <c r="X63" s="137">
        <f t="shared" si="34"/>
        <v>-0.1342725255934922</v>
      </c>
      <c r="Y63" s="138">
        <f t="shared" si="20"/>
        <v>-3.5107062934372912</v>
      </c>
      <c r="AA63" s="141">
        <f t="shared" si="35"/>
        <v>-3.0211049676462842</v>
      </c>
      <c r="AB63" s="142">
        <f t="shared" si="36"/>
        <v>0.61676263429555045</v>
      </c>
      <c r="AC63" s="142">
        <f t="shared" si="37"/>
        <v>-6.8906190145070087E-2</v>
      </c>
      <c r="AD63" s="142">
        <f t="shared" si="38"/>
        <v>-5.3486419199979297E-3</v>
      </c>
      <c r="AE63" s="142">
        <f t="shared" si="39"/>
        <v>-1.066466854810824E-3</v>
      </c>
      <c r="AF63" s="143">
        <f t="shared" si="21"/>
        <v>-2.4796636322706127</v>
      </c>
    </row>
    <row r="64" spans="7:32" x14ac:dyDescent="0.25">
      <c r="G64" s="147">
        <f t="shared" si="40"/>
        <v>3.6952013262321417</v>
      </c>
      <c r="H64" s="147">
        <f t="shared" si="22"/>
        <v>3.2672563597333877</v>
      </c>
      <c r="I64" s="147">
        <f t="shared" si="41"/>
        <v>4.1080000000000032</v>
      </c>
      <c r="J64" s="35"/>
      <c r="K64" s="156">
        <f t="shared" si="23"/>
        <v>-3.7876196609840149</v>
      </c>
      <c r="L64" s="8">
        <f t="shared" si="24"/>
        <v>-2.40241225762438</v>
      </c>
      <c r="M64" s="8">
        <f t="shared" si="25"/>
        <v>0.34545450182902188</v>
      </c>
      <c r="N64" s="8">
        <f t="shared" si="26"/>
        <v>-2.7682074401451644E-2</v>
      </c>
      <c r="O64" s="8">
        <f t="shared" si="27"/>
        <v>-1.5369834940067307E-3</v>
      </c>
      <c r="P64" s="8">
        <f t="shared" si="28"/>
        <v>-2.1615900022667071E-4</v>
      </c>
      <c r="Q64" s="157">
        <f t="shared" si="19"/>
        <v>-2.0863929726910433</v>
      </c>
      <c r="R64" s="33"/>
      <c r="S64" s="136">
        <f t="shared" si="29"/>
        <v>-5.4566308572296265</v>
      </c>
      <c r="T64" s="137">
        <f t="shared" si="30"/>
        <v>-4.5445521526640809</v>
      </c>
      <c r="U64" s="137">
        <f t="shared" si="31"/>
        <v>1.6431580937063621</v>
      </c>
      <c r="V64" s="137">
        <f t="shared" si="32"/>
        <v>-0.72350128721975104</v>
      </c>
      <c r="W64" s="137">
        <f t="shared" si="33"/>
        <v>0.25014298579484762</v>
      </c>
      <c r="X64" s="137">
        <f t="shared" si="34"/>
        <v>-0.11421903243557344</v>
      </c>
      <c r="Y64" s="138">
        <f t="shared" si="20"/>
        <v>-3.4889713928181951</v>
      </c>
      <c r="AA64" s="141">
        <f t="shared" si="35"/>
        <v>-3.0071209270671093</v>
      </c>
      <c r="AB64" s="142">
        <f t="shared" si="36"/>
        <v>0.60399226555480789</v>
      </c>
      <c r="AC64" s="142">
        <f t="shared" si="37"/>
        <v>-6.5529551131133956E-2</v>
      </c>
      <c r="AD64" s="142">
        <f t="shared" si="38"/>
        <v>-4.8695091476690299E-3</v>
      </c>
      <c r="AE64" s="142">
        <f t="shared" si="39"/>
        <v>-9.1432838608915387E-4</v>
      </c>
      <c r="AF64" s="143">
        <f t="shared" si="21"/>
        <v>-2.4744420501771938</v>
      </c>
    </row>
    <row r="65" spans="7:32" x14ac:dyDescent="0.25">
      <c r="G65" s="147">
        <f t="shared" si="40"/>
        <v>3.7662628901981443</v>
      </c>
      <c r="H65" s="147">
        <f t="shared" si="22"/>
        <v>3.3300882128051836</v>
      </c>
      <c r="I65" s="147">
        <f t="shared" si="41"/>
        <v>4.1870000000000029</v>
      </c>
      <c r="J65" s="35"/>
      <c r="K65" s="156">
        <f t="shared" si="23"/>
        <v>-3.7501011714315795</v>
      </c>
      <c r="L65" s="8">
        <f t="shared" si="24"/>
        <v>-2.3829109881753467</v>
      </c>
      <c r="M65" s="8">
        <f t="shared" si="25"/>
        <v>0.33319684643729597</v>
      </c>
      <c r="N65" s="8">
        <f t="shared" si="26"/>
        <v>-2.5326594232407698E-2</v>
      </c>
      <c r="O65" s="8">
        <f t="shared" si="27"/>
        <v>-1.2914614812989693E-3</v>
      </c>
      <c r="P65" s="8">
        <f t="shared" si="28"/>
        <v>-1.5903415478481342E-4</v>
      </c>
      <c r="Q65" s="157">
        <f t="shared" si="19"/>
        <v>-2.0764912316065427</v>
      </c>
      <c r="R65" s="33"/>
      <c r="S65" s="136">
        <f t="shared" si="29"/>
        <v>-5.402579879007785</v>
      </c>
      <c r="T65" s="137">
        <f t="shared" si="30"/>
        <v>-4.4995358237500191</v>
      </c>
      <c r="U65" s="137">
        <f t="shared" si="31"/>
        <v>1.5773243015549858</v>
      </c>
      <c r="V65" s="137">
        <f t="shared" si="32"/>
        <v>-0.65700988378158265</v>
      </c>
      <c r="W65" s="137">
        <f t="shared" si="33"/>
        <v>0.20808512951748301</v>
      </c>
      <c r="X65" s="137">
        <f t="shared" si="34"/>
        <v>-8.2984984572066905E-2</v>
      </c>
      <c r="Y65" s="138">
        <f t="shared" si="20"/>
        <v>-3.4541212610311995</v>
      </c>
      <c r="AA65" s="141">
        <f t="shared" si="35"/>
        <v>-2.9835596256000381</v>
      </c>
      <c r="AB65" s="142">
        <f t="shared" si="36"/>
        <v>0.58266531168858404</v>
      </c>
      <c r="AC65" s="142">
        <f t="shared" si="37"/>
        <v>-5.9956885589419438E-2</v>
      </c>
      <c r="AD65" s="142">
        <f t="shared" si="38"/>
        <v>-4.0916939757888763E-3</v>
      </c>
      <c r="AE65" s="142">
        <f t="shared" si="39"/>
        <v>-6.7269858345866778E-4</v>
      </c>
      <c r="AF65" s="143">
        <f t="shared" si="21"/>
        <v>-2.465615592060121</v>
      </c>
    </row>
    <row r="66" spans="7:32" x14ac:dyDescent="0.25">
      <c r="G66" s="147">
        <f t="shared" si="40"/>
        <v>3.8373244541641469</v>
      </c>
      <c r="H66" s="147">
        <f t="shared" si="22"/>
        <v>3.3929200658769796</v>
      </c>
      <c r="I66" s="147">
        <f t="shared" si="41"/>
        <v>4.2660000000000027</v>
      </c>
      <c r="J66" s="35"/>
      <c r="K66" s="156">
        <f t="shared" si="23"/>
        <v>-3.6977827458137615</v>
      </c>
      <c r="L66" s="8">
        <f t="shared" si="24"/>
        <v>-2.3552873503215901</v>
      </c>
      <c r="M66" s="8">
        <f t="shared" si="25"/>
        <v>0.31601929256852956</v>
      </c>
      <c r="N66" s="8">
        <f t="shared" si="26"/>
        <v>-2.2083314963630415E-2</v>
      </c>
      <c r="O66" s="8">
        <f t="shared" si="27"/>
        <v>-9.6196334905460849E-4</v>
      </c>
      <c r="P66" s="8">
        <f t="shared" si="28"/>
        <v>-8.5008917701304539E-5</v>
      </c>
      <c r="Q66" s="157">
        <f t="shared" si="19"/>
        <v>-2.0623983449834467</v>
      </c>
      <c r="R66" s="33"/>
      <c r="S66" s="136">
        <f t="shared" si="29"/>
        <v>-5.3272073862074674</v>
      </c>
      <c r="T66" s="137">
        <f t="shared" si="30"/>
        <v>-4.4367618825819974</v>
      </c>
      <c r="U66" s="137">
        <f t="shared" si="31"/>
        <v>1.4866151629202218</v>
      </c>
      <c r="V66" s="137">
        <f t="shared" si="32"/>
        <v>-0.56724357766302114</v>
      </c>
      <c r="W66" s="137">
        <f t="shared" si="33"/>
        <v>0.15295251926896095</v>
      </c>
      <c r="X66" s="137">
        <f t="shared" si="34"/>
        <v>-4.3627788228260973E-2</v>
      </c>
      <c r="Y66" s="138">
        <f t="shared" si="20"/>
        <v>-3.4080655662840966</v>
      </c>
      <c r="AA66" s="141">
        <f t="shared" si="35"/>
        <v>-2.9500768659483985</v>
      </c>
      <c r="AB66" s="142">
        <f t="shared" si="36"/>
        <v>0.55275603161019993</v>
      </c>
      <c r="AC66" s="142">
        <f t="shared" si="37"/>
        <v>-5.2282619057365802E-2</v>
      </c>
      <c r="AD66" s="142">
        <f t="shared" si="38"/>
        <v>-3.0478078126738419E-3</v>
      </c>
      <c r="AE66" s="142">
        <f t="shared" si="39"/>
        <v>-3.5958053259094912E-4</v>
      </c>
      <c r="AF66" s="143">
        <f t="shared" si="21"/>
        <v>-2.453010841740829</v>
      </c>
    </row>
    <row r="67" spans="7:32" x14ac:dyDescent="0.25">
      <c r="G67" s="147">
        <f t="shared" si="40"/>
        <v>3.9083860181301495</v>
      </c>
      <c r="H67" s="147">
        <f t="shared" si="22"/>
        <v>3.4557519189487755</v>
      </c>
      <c r="I67" s="147">
        <f t="shared" si="41"/>
        <v>4.3450000000000024</v>
      </c>
      <c r="J67" s="35"/>
      <c r="K67" s="156">
        <f t="shared" si="23"/>
        <v>-3.6308708610544591</v>
      </c>
      <c r="L67" s="8">
        <f t="shared" si="24"/>
        <v>-2.3192774944825247</v>
      </c>
      <c r="M67" s="8">
        <f t="shared" si="25"/>
        <v>0.29395210858858839</v>
      </c>
      <c r="N67" s="8">
        <f t="shared" si="26"/>
        <v>-1.8017162119343573E-2</v>
      </c>
      <c r="O67" s="8">
        <f t="shared" si="27"/>
        <v>-5.6361375267548642E-4</v>
      </c>
      <c r="P67" s="8">
        <f t="shared" si="28"/>
        <v>4.2967936158970324E-18</v>
      </c>
      <c r="Q67" s="157">
        <f t="shared" si="19"/>
        <v>-2.0439061617659555</v>
      </c>
      <c r="R67" s="33"/>
      <c r="S67" s="136">
        <f t="shared" si="29"/>
        <v>-5.2308108396233397</v>
      </c>
      <c r="T67" s="137">
        <f t="shared" si="30"/>
        <v>-4.3564780692271219</v>
      </c>
      <c r="U67" s="137">
        <f t="shared" si="31"/>
        <v>1.3724612151053532</v>
      </c>
      <c r="V67" s="137">
        <f t="shared" si="32"/>
        <v>-0.45738238501064715</v>
      </c>
      <c r="W67" s="137">
        <f t="shared" si="33"/>
        <v>8.8209339714753102E-2</v>
      </c>
      <c r="X67" s="137">
        <f t="shared" si="34"/>
        <v>2.1619810809420367E-15</v>
      </c>
      <c r="Y67" s="138">
        <f t="shared" si="20"/>
        <v>-3.3531898994176603</v>
      </c>
      <c r="AA67" s="141">
        <f t="shared" si="35"/>
        <v>-2.9062616503761443</v>
      </c>
      <c r="AB67" s="142">
        <f t="shared" si="36"/>
        <v>0.51429920756946756</v>
      </c>
      <c r="AC67" s="142">
        <f t="shared" si="37"/>
        <v>-4.2659460540458029E-2</v>
      </c>
      <c r="AD67" s="142">
        <f t="shared" si="38"/>
        <v>-1.7857438298562473E-3</v>
      </c>
      <c r="AE67" s="142">
        <f t="shared" si="39"/>
        <v>1.8175149405075912E-17</v>
      </c>
      <c r="AF67" s="143">
        <f t="shared" si="21"/>
        <v>-2.4364076471769911</v>
      </c>
    </row>
    <row r="68" spans="7:32" x14ac:dyDescent="0.25">
      <c r="G68" s="147">
        <f t="shared" si="40"/>
        <v>3.9794475820961521</v>
      </c>
      <c r="H68" s="147">
        <f t="shared" si="22"/>
        <v>3.5185837720205715</v>
      </c>
      <c r="I68" s="147">
        <f t="shared" si="41"/>
        <v>4.4240000000000022</v>
      </c>
      <c r="J68" s="35"/>
      <c r="K68" s="156">
        <f t="shared" si="23"/>
        <v>-3.5496295877936843</v>
      </c>
      <c r="L68" s="8">
        <f t="shared" si="24"/>
        <v>-2.2746176837536143</v>
      </c>
      <c r="M68" s="8">
        <f t="shared" si="25"/>
        <v>0.267092332378703</v>
      </c>
      <c r="N68" s="8">
        <f t="shared" si="26"/>
        <v>-1.3223430657777235E-2</v>
      </c>
      <c r="O68" s="8">
        <f t="shared" si="27"/>
        <v>-1.1655623826123922E-4</v>
      </c>
      <c r="P68" s="8">
        <f t="shared" si="28"/>
        <v>8.8637863249894648E-5</v>
      </c>
      <c r="Q68" s="157">
        <f t="shared" si="19"/>
        <v>-2.0207767004077</v>
      </c>
      <c r="R68" s="33"/>
      <c r="S68" s="136">
        <f t="shared" si="29"/>
        <v>-5.1137706723853764</v>
      </c>
      <c r="T68" s="137">
        <f t="shared" si="30"/>
        <v>-4.2590012272185174</v>
      </c>
      <c r="U68" s="137">
        <f t="shared" si="31"/>
        <v>1.2366627340596843</v>
      </c>
      <c r="V68" s="137">
        <f t="shared" si="32"/>
        <v>-0.33131819334465618</v>
      </c>
      <c r="W68" s="137">
        <f t="shared" si="33"/>
        <v>1.7923642935008758E-2</v>
      </c>
      <c r="X68" s="137">
        <f t="shared" si="34"/>
        <v>4.3627788228264616E-2</v>
      </c>
      <c r="Y68" s="138">
        <f t="shared" si="20"/>
        <v>-3.2921052553402159</v>
      </c>
      <c r="AA68" s="141">
        <f t="shared" si="35"/>
        <v>-2.8516969544303707</v>
      </c>
      <c r="AB68" s="142">
        <f t="shared" si="36"/>
        <v>0.4674460073213586</v>
      </c>
      <c r="AC68" s="142">
        <f t="shared" si="37"/>
        <v>-3.1312092885266825E-2</v>
      </c>
      <c r="AD68" s="142">
        <f t="shared" si="38"/>
        <v>-3.6930252400698327E-4</v>
      </c>
      <c r="AE68" s="142">
        <f t="shared" si="39"/>
        <v>3.7493389811196911E-4</v>
      </c>
      <c r="AF68" s="143">
        <f t="shared" si="21"/>
        <v>-2.4155574086201739</v>
      </c>
    </row>
    <row r="69" spans="7:32" x14ac:dyDescent="0.25">
      <c r="G69" s="147">
        <f t="shared" si="40"/>
        <v>4.0505091460621552</v>
      </c>
      <c r="H69" s="147">
        <f t="shared" si="22"/>
        <v>3.5814156250923674</v>
      </c>
      <c r="I69" s="147">
        <f t="shared" si="41"/>
        <v>4.5030000000000019</v>
      </c>
      <c r="J69" s="35"/>
      <c r="K69" s="156">
        <f t="shared" si="23"/>
        <v>-3.4543795482213908</v>
      </c>
      <c r="L69" s="8">
        <f t="shared" si="24"/>
        <v>-2.221088359902911</v>
      </c>
      <c r="M69" s="8">
        <f t="shared" si="25"/>
        <v>0.23563244015594906</v>
      </c>
      <c r="N69" s="8">
        <f t="shared" si="26"/>
        <v>-7.8316035345731404E-3</v>
      </c>
      <c r="O69" s="8">
        <f t="shared" si="27"/>
        <v>3.5437775633009595E-4</v>
      </c>
      <c r="P69" s="8">
        <f t="shared" si="28"/>
        <v>1.7257979648524594E-4</v>
      </c>
      <c r="Q69" s="157">
        <f t="shared" si="19"/>
        <v>-1.9927605657287195</v>
      </c>
      <c r="R69" s="33"/>
      <c r="S69" s="136">
        <f t="shared" si="29"/>
        <v>-4.9765487885630995</v>
      </c>
      <c r="T69" s="137">
        <f t="shared" si="30"/>
        <v>-4.1447160531186586</v>
      </c>
      <c r="U69" s="137">
        <f t="shared" si="31"/>
        <v>1.0813613429513849</v>
      </c>
      <c r="V69" s="137">
        <f t="shared" si="32"/>
        <v>-0.19351688950318965</v>
      </c>
      <c r="W69" s="137">
        <f t="shared" si="33"/>
        <v>-5.3488262248889827E-2</v>
      </c>
      <c r="X69" s="137">
        <f t="shared" si="34"/>
        <v>8.2984984572070389E-2</v>
      </c>
      <c r="Y69" s="138">
        <f t="shared" si="20"/>
        <v>-3.227374877347283</v>
      </c>
      <c r="AA69" s="141">
        <f t="shared" si="35"/>
        <v>-2.7860241676751314</v>
      </c>
      <c r="AB69" s="142">
        <f t="shared" si="36"/>
        <v>0.41251644598366671</v>
      </c>
      <c r="AC69" s="142">
        <f t="shared" si="37"/>
        <v>-1.8546367131486812E-2</v>
      </c>
      <c r="AD69" s="142">
        <f t="shared" si="38"/>
        <v>1.1228521779127381E-3</v>
      </c>
      <c r="AE69" s="142">
        <f t="shared" si="39"/>
        <v>7.3000752942184823E-4</v>
      </c>
      <c r="AF69" s="143">
        <f t="shared" si="21"/>
        <v>-2.3902012291156169</v>
      </c>
    </row>
    <row r="70" spans="7:32" x14ac:dyDescent="0.25">
      <c r="G70" s="147">
        <f t="shared" si="40"/>
        <v>4.1215707100281582</v>
      </c>
      <c r="H70" s="147">
        <f t="shared" si="22"/>
        <v>3.6442474781641634</v>
      </c>
      <c r="I70" s="147">
        <f t="shared" si="41"/>
        <v>4.5820000000000016</v>
      </c>
      <c r="J70" s="35"/>
      <c r="K70" s="156">
        <f t="shared" si="23"/>
        <v>-3.3454966507281672</v>
      </c>
      <c r="L70" s="8">
        <f t="shared" si="24"/>
        <v>-2.1585550650052716</v>
      </c>
      <c r="M70" s="8">
        <f t="shared" si="25"/>
        <v>0.19988126823416635</v>
      </c>
      <c r="N70" s="8">
        <f t="shared" si="26"/>
        <v>-2.0056316411059044E-3</v>
      </c>
      <c r="O70" s="8">
        <f t="shared" si="27"/>
        <v>8.207267342756839E-4</v>
      </c>
      <c r="P70" s="8">
        <f t="shared" si="28"/>
        <v>2.4326634993096968E-4</v>
      </c>
      <c r="Q70" s="157">
        <f t="shared" si="19"/>
        <v>-1.9596154353280044</v>
      </c>
      <c r="R70" s="33"/>
      <c r="S70" s="136">
        <f t="shared" si="29"/>
        <v>-4.8196867402412416</v>
      </c>
      <c r="T70" s="137">
        <f t="shared" si="30"/>
        <v>-4.0140735782977899</v>
      </c>
      <c r="U70" s="137">
        <f t="shared" si="31"/>
        <v>0.90900623749078735</v>
      </c>
      <c r="V70" s="137">
        <f t="shared" si="32"/>
        <v>-4.8860153374656302E-2</v>
      </c>
      <c r="W70" s="137">
        <f t="shared" si="33"/>
        <v>-0.12153930319962261</v>
      </c>
      <c r="X70" s="137">
        <f t="shared" si="34"/>
        <v>0.11421903243557598</v>
      </c>
      <c r="Y70" s="138">
        <f t="shared" si="20"/>
        <v>-3.1612477649457058</v>
      </c>
      <c r="AA70" s="141">
        <f t="shared" si="35"/>
        <v>-2.7090025343188846</v>
      </c>
      <c r="AB70" s="142">
        <f t="shared" si="36"/>
        <v>0.35003772823011381</v>
      </c>
      <c r="AC70" s="142">
        <f t="shared" si="37"/>
        <v>-4.7500618228495878E-3</v>
      </c>
      <c r="AD70" s="142">
        <f t="shared" si="38"/>
        <v>2.6005423926882504E-3</v>
      </c>
      <c r="AE70" s="142">
        <f t="shared" si="39"/>
        <v>1.0290141196760587E-3</v>
      </c>
      <c r="AF70" s="143">
        <f t="shared" si="21"/>
        <v>-2.3600853113992559</v>
      </c>
    </row>
    <row r="71" spans="7:32" x14ac:dyDescent="0.25">
      <c r="G71" s="147">
        <f t="shared" si="40"/>
        <v>4.1926322739941613</v>
      </c>
      <c r="H71" s="147">
        <f t="shared" si="22"/>
        <v>3.7070793312359593</v>
      </c>
      <c r="I71" s="147">
        <f t="shared" si="41"/>
        <v>4.6610000000000014</v>
      </c>
      <c r="J71" s="35"/>
      <c r="K71" s="156">
        <f t="shared" si="23"/>
        <v>-3.2234106063665537</v>
      </c>
      <c r="L71" s="8">
        <f t="shared" si="24"/>
        <v>-2.0870003610375361</v>
      </c>
      <c r="M71" s="8">
        <f t="shared" si="25"/>
        <v>0.16027234726295508</v>
      </c>
      <c r="N71" s="8">
        <f t="shared" si="26"/>
        <v>4.0603234084324296E-3</v>
      </c>
      <c r="O71" s="8">
        <f t="shared" si="27"/>
        <v>1.2522133266405166E-3</v>
      </c>
      <c r="P71" s="8">
        <f t="shared" si="28"/>
        <v>2.928437189779233E-4</v>
      </c>
      <c r="Q71" s="157">
        <f t="shared" si="19"/>
        <v>-1.92112263332053</v>
      </c>
      <c r="R71" s="33"/>
      <c r="S71" s="136">
        <f t="shared" si="29"/>
        <v>-4.643803590261073</v>
      </c>
      <c r="T71" s="137">
        <f t="shared" si="30"/>
        <v>-3.8675893889191575</v>
      </c>
      <c r="U71" s="137">
        <f t="shared" si="31"/>
        <v>0.72231556065095481</v>
      </c>
      <c r="V71" s="137">
        <f t="shared" si="32"/>
        <v>9.7527478046044613E-2</v>
      </c>
      <c r="W71" s="137">
        <f t="shared" si="33"/>
        <v>-0.1819535827400334</v>
      </c>
      <c r="X71" s="137">
        <f t="shared" si="34"/>
        <v>0.1342725255934934</v>
      </c>
      <c r="Y71" s="138">
        <f t="shared" si="20"/>
        <v>-3.0954274073686987</v>
      </c>
      <c r="AA71" s="141">
        <f t="shared" si="35"/>
        <v>-2.6205551609325703</v>
      </c>
      <c r="AB71" s="142">
        <f t="shared" si="36"/>
        <v>0.28075972972356777</v>
      </c>
      <c r="AC71" s="142">
        <f t="shared" si="37"/>
        <v>9.6171712283667603E-3</v>
      </c>
      <c r="AD71" s="142">
        <f t="shared" si="38"/>
        <v>3.9678250905166345E-3</v>
      </c>
      <c r="AE71" s="142">
        <f t="shared" si="39"/>
        <v>1.2387310385715783E-3</v>
      </c>
      <c r="AF71" s="143">
        <f t="shared" si="21"/>
        <v>-2.3249717038515474</v>
      </c>
    </row>
    <row r="72" spans="7:32" x14ac:dyDescent="0.25">
      <c r="G72" s="147">
        <f t="shared" si="40"/>
        <v>4.2636938379601643</v>
      </c>
      <c r="H72" s="147">
        <f t="shared" si="22"/>
        <v>3.7699111843077553</v>
      </c>
      <c r="I72" s="147">
        <f t="shared" si="41"/>
        <v>4.7400000000000011</v>
      </c>
      <c r="J72" s="35"/>
      <c r="K72" s="156">
        <f t="shared" si="23"/>
        <v>-3.0886032329778383</v>
      </c>
      <c r="L72" s="8">
        <f t="shared" si="24"/>
        <v>-2.0065419288800177</v>
      </c>
      <c r="M72" s="8">
        <f t="shared" si="25"/>
        <v>0.11735704527622476</v>
      </c>
      <c r="N72" s="8">
        <f t="shared" si="26"/>
        <v>1.015066994867017E-2</v>
      </c>
      <c r="O72" s="8">
        <f t="shared" si="27"/>
        <v>1.6191308505656037E-3</v>
      </c>
      <c r="P72" s="8">
        <f t="shared" si="28"/>
        <v>3.1516092302181906E-4</v>
      </c>
      <c r="Q72" s="157">
        <f t="shared" si="19"/>
        <v>-1.8770999218815354</v>
      </c>
      <c r="R72" s="33"/>
      <c r="S72" s="136">
        <f t="shared" si="29"/>
        <v>-4.4495934690621999</v>
      </c>
      <c r="T72" s="137">
        <f t="shared" si="30"/>
        <v>-3.7058415911559797</v>
      </c>
      <c r="U72" s="137">
        <f t="shared" si="31"/>
        <v>0.5242335359292557</v>
      </c>
      <c r="V72" s="137">
        <f t="shared" si="32"/>
        <v>0.24046014993535966</v>
      </c>
      <c r="W72" s="137">
        <f t="shared" si="33"/>
        <v>-0.23093504949842034</v>
      </c>
      <c r="X72" s="137">
        <f t="shared" si="34"/>
        <v>0.14118248841462352</v>
      </c>
      <c r="Y72" s="138">
        <f t="shared" si="20"/>
        <v>-3.0309004663751606</v>
      </c>
      <c r="AA72" s="141">
        <f t="shared" si="35"/>
        <v>-2.5207947930707073</v>
      </c>
      <c r="AB72" s="142">
        <f t="shared" si="36"/>
        <v>0.2056429658904653</v>
      </c>
      <c r="AC72" s="142">
        <f t="shared" si="37"/>
        <v>2.4044638536352386E-2</v>
      </c>
      <c r="AD72" s="142">
        <f t="shared" si="38"/>
        <v>5.1305567148294401E-3</v>
      </c>
      <c r="AE72" s="142">
        <f t="shared" si="39"/>
        <v>1.3331381720775174E-3</v>
      </c>
      <c r="AF72" s="143">
        <f t="shared" si="21"/>
        <v>-2.2846434937569824</v>
      </c>
    </row>
    <row r="73" spans="7:32" x14ac:dyDescent="0.25">
      <c r="G73" s="147">
        <f t="shared" si="40"/>
        <v>4.3347554019261674</v>
      </c>
      <c r="H73" s="147">
        <f t="shared" si="22"/>
        <v>3.8327430373795512</v>
      </c>
      <c r="I73" s="147">
        <f t="shared" si="41"/>
        <v>4.8190000000000008</v>
      </c>
      <c r="J73" s="35"/>
      <c r="K73" s="156">
        <f t="shared" si="23"/>
        <v>-2.9416065536771554</v>
      </c>
      <c r="L73" s="8">
        <f t="shared" si="24"/>
        <v>-1.9174340241766534</v>
      </c>
      <c r="M73" s="8">
        <f t="shared" si="25"/>
        <v>7.1782956649965646E-2</v>
      </c>
      <c r="N73" s="8">
        <f t="shared" si="26"/>
        <v>1.6040556224328845E-2</v>
      </c>
      <c r="O73" s="8">
        <f t="shared" si="27"/>
        <v>1.8949319726070221E-3</v>
      </c>
      <c r="P73" s="8">
        <f t="shared" si="28"/>
        <v>3.066276970779479E-4</v>
      </c>
      <c r="Q73" s="157">
        <f t="shared" si="19"/>
        <v>-1.8274089516326739</v>
      </c>
      <c r="R73" s="33"/>
      <c r="S73" s="136">
        <f t="shared" si="29"/>
        <v>-4.2378228352668286</v>
      </c>
      <c r="T73" s="137">
        <f t="shared" si="30"/>
        <v>-3.5294685296704884</v>
      </c>
      <c r="U73" s="137">
        <f t="shared" si="31"/>
        <v>0.31788403518401742</v>
      </c>
      <c r="V73" s="137">
        <f t="shared" si="32"/>
        <v>0.37487440113358078</v>
      </c>
      <c r="W73" s="137">
        <f t="shared" si="33"/>
        <v>-0.26540601777712025</v>
      </c>
      <c r="X73" s="137">
        <f t="shared" si="34"/>
        <v>0.1342725255934919</v>
      </c>
      <c r="Y73" s="138">
        <f t="shared" si="20"/>
        <v>-2.9678435855365186</v>
      </c>
      <c r="AA73" s="141">
        <f t="shared" si="35"/>
        <v>-2.4100255031035838</v>
      </c>
      <c r="AB73" s="142">
        <f t="shared" si="36"/>
        <v>0.12581990761753239</v>
      </c>
      <c r="AC73" s="142">
        <f t="shared" si="37"/>
        <v>3.7999508516184874E-2</v>
      </c>
      <c r="AD73" s="142">
        <f t="shared" si="38"/>
        <v>6.0045992943672938E-3</v>
      </c>
      <c r="AE73" s="142">
        <f t="shared" si="39"/>
        <v>1.297047145645271E-3</v>
      </c>
      <c r="AF73" s="143">
        <f t="shared" si="21"/>
        <v>-2.2389044405298537</v>
      </c>
    </row>
    <row r="74" spans="7:32" x14ac:dyDescent="0.25">
      <c r="G74" s="147">
        <f t="shared" si="40"/>
        <v>4.4058169658921704</v>
      </c>
      <c r="H74" s="147">
        <f t="shared" si="22"/>
        <v>3.8955748904513472</v>
      </c>
      <c r="I74" s="147">
        <f t="shared" si="41"/>
        <v>4.8980000000000006</v>
      </c>
      <c r="J74" s="35"/>
      <c r="K74" s="156">
        <f t="shared" si="23"/>
        <v>-2.7830006972013099</v>
      </c>
      <c r="L74" s="8">
        <f t="shared" si="24"/>
        <v>-1.8200521131610297</v>
      </c>
      <c r="M74" s="8">
        <f t="shared" si="25"/>
        <v>2.4261120597853007E-2</v>
      </c>
      <c r="N74" s="8">
        <f t="shared" si="26"/>
        <v>2.1509406120514989E-2</v>
      </c>
      <c r="O74" s="8">
        <f t="shared" si="27"/>
        <v>2.0585622284511463E-3</v>
      </c>
      <c r="P74" s="8">
        <f t="shared" si="28"/>
        <v>2.6675054875328186E-4</v>
      </c>
      <c r="Q74" s="157">
        <f t="shared" si="19"/>
        <v>-1.7719562736654573</v>
      </c>
      <c r="R74" s="33"/>
      <c r="S74" s="136">
        <f t="shared" si="29"/>
        <v>-4.0093274508177501</v>
      </c>
      <c r="T74" s="137">
        <f t="shared" si="30"/>
        <v>-3.339166268359179</v>
      </c>
      <c r="U74" s="137">
        <f t="shared" si="31"/>
        <v>0.1065213133092091</v>
      </c>
      <c r="V74" s="137">
        <f t="shared" si="32"/>
        <v>0.49600853978077752</v>
      </c>
      <c r="W74" s="137">
        <f t="shared" si="33"/>
        <v>-0.28320054986382925</v>
      </c>
      <c r="X74" s="137">
        <f t="shared" si="34"/>
        <v>0.11421903243557315</v>
      </c>
      <c r="Y74" s="138">
        <f t="shared" si="20"/>
        <v>-2.9056179326974481</v>
      </c>
      <c r="AA74" s="141">
        <f t="shared" si="35"/>
        <v>-2.2887202284813277</v>
      </c>
      <c r="AB74" s="142">
        <f t="shared" si="36"/>
        <v>4.2536177875389831E-2</v>
      </c>
      <c r="AC74" s="142">
        <f t="shared" si="37"/>
        <v>5.0958965558896299E-2</v>
      </c>
      <c r="AD74" s="142">
        <f t="shared" si="38"/>
        <v>6.5232179719981942E-3</v>
      </c>
      <c r="AE74" s="142">
        <f t="shared" si="39"/>
        <v>1.1283691236288927E-3</v>
      </c>
      <c r="AF74" s="143">
        <f t="shared" si="21"/>
        <v>-2.1875734979514143</v>
      </c>
    </row>
    <row r="75" spans="7:32" x14ac:dyDescent="0.25">
      <c r="G75" s="147">
        <f t="shared" si="40"/>
        <v>4.4768785298581735</v>
      </c>
      <c r="H75" s="147">
        <f t="shared" si="22"/>
        <v>3.9584067435231431</v>
      </c>
      <c r="I75" s="147">
        <f t="shared" si="41"/>
        <v>4.9770000000000003</v>
      </c>
      <c r="J75" s="35"/>
      <c r="K75" s="156">
        <f t="shared" si="23"/>
        <v>-2.6134116084056886</v>
      </c>
      <c r="L75" s="8">
        <f t="shared" si="24"/>
        <v>-1.7148632851719268</v>
      </c>
      <c r="M75" s="8">
        <f t="shared" si="25"/>
        <v>-2.4471919028529757E-2</v>
      </c>
      <c r="N75" s="8">
        <f t="shared" si="26"/>
        <v>2.6353439852152601E-2</v>
      </c>
      <c r="O75" s="8">
        <f t="shared" si="27"/>
        <v>2.096133959601541E-3</v>
      </c>
      <c r="P75" s="8">
        <f t="shared" si="28"/>
        <v>1.9824111870538741E-4</v>
      </c>
      <c r="Q75" s="157">
        <f t="shared" si="19"/>
        <v>-1.7106873892699972</v>
      </c>
      <c r="R75" s="33"/>
      <c r="S75" s="136">
        <f t="shared" si="29"/>
        <v>-3.7650090826077727</v>
      </c>
      <c r="T75" s="137">
        <f t="shared" si="30"/>
        <v>-3.1356858433066139</v>
      </c>
      <c r="U75" s="137">
        <f t="shared" si="31"/>
        <v>-0.10652131330923362</v>
      </c>
      <c r="V75" s="137">
        <f t="shared" si="32"/>
        <v>0.59957132862484097</v>
      </c>
      <c r="W75" s="137">
        <f t="shared" si="33"/>
        <v>-0.2832005498638282</v>
      </c>
      <c r="X75" s="137">
        <f t="shared" si="34"/>
        <v>8.2984984572066503E-2</v>
      </c>
      <c r="Y75" s="138">
        <f t="shared" si="20"/>
        <v>-2.8428513932827681</v>
      </c>
      <c r="AA75" s="141">
        <f t="shared" si="35"/>
        <v>-2.1574780276595731</v>
      </c>
      <c r="AB75" s="142">
        <f t="shared" si="36"/>
        <v>-4.2917475562427213E-2</v>
      </c>
      <c r="AC75" s="142">
        <f t="shared" si="37"/>
        <v>6.2439945276630618E-2</v>
      </c>
      <c r="AD75" s="142">
        <f t="shared" si="38"/>
        <v>6.642387477723612E-3</v>
      </c>
      <c r="AE75" s="142">
        <f t="shared" si="39"/>
        <v>8.3857333758705272E-4</v>
      </c>
      <c r="AF75" s="143">
        <f t="shared" si="21"/>
        <v>-2.1304745971300592</v>
      </c>
    </row>
    <row r="76" spans="7:32" x14ac:dyDescent="0.25">
      <c r="G76" s="147">
        <f t="shared" si="40"/>
        <v>4.5479400938241765</v>
      </c>
      <c r="H76" s="147">
        <f t="shared" si="22"/>
        <v>4.0212385965949391</v>
      </c>
      <c r="I76" s="147">
        <f t="shared" si="41"/>
        <v>5.056</v>
      </c>
      <c r="J76" s="35"/>
      <c r="K76" s="156">
        <f t="shared" ref="K76:K112" si="42">umax*COS(H76)</f>
        <v>-2.4335085779458838</v>
      </c>
      <c r="L76" s="8">
        <f t="shared" ref="L76:L112" si="43">(ep*a_1*COSH(kd+k*Y76-k*zpoint)*COS(H76))*C_o*SQRT(9.81/k)</f>
        <v>-1.6023873503713932</v>
      </c>
      <c r="M76" s="8">
        <f t="shared" ref="M76:M112" si="44">2*POWER(ep,2)*a_2*COSH(2*(kd+k*Y76-k*zpoint))*COS(2*H76)*C_o*SQRT(9.81/k)</f>
        <v>-7.3690155839385596E-2</v>
      </c>
      <c r="N76" s="8">
        <f t="shared" ref="N76:N112" si="45">3*POWER(ep,3)*a_3*COSH(3*(kd+k*Y76-k*zpoint))*COS(3*H76)*C_o*SQRT(9.81/k)</f>
        <v>3.03951061070276E-2</v>
      </c>
      <c r="O76" s="8">
        <f t="shared" ref="O76:O112" si="46">4*POWER(ep,4)*a_4*COSH(4*(kd+k*Y76-k*zpoint))*COS(4*H76)*C_o*SQRT(9.81/k)</f>
        <v>2.001714791191365E-3</v>
      </c>
      <c r="P76" s="8">
        <f t="shared" ref="P76:P112" si="47">5*POWER(ep,5)*a_5*COSH(5*(kd+k*Y76-k*zpoint))*COS(5*H76)*C_o*SQRT(9.81/k)</f>
        <v>1.0670239009884732E-4</v>
      </c>
      <c r="Q76" s="157">
        <f t="shared" si="19"/>
        <v>-1.6435739829224612</v>
      </c>
      <c r="R76" s="33"/>
      <c r="S76" s="136">
        <f t="shared" ref="S76:S112" si="48">HRMS/2*COS(H76)</f>
        <v>-3.5058319436177778</v>
      </c>
      <c r="T76" s="137">
        <f t="shared" ref="T76:T112" si="49">ep*b_1*COS(H76)/k</f>
        <v>-2.9198302987891123</v>
      </c>
      <c r="U76" s="137">
        <f t="shared" ref="U76:U112" si="50">POWER(ep,2)*b_2*COS(2*H76)/k</f>
        <v>-0.31788403518404157</v>
      </c>
      <c r="V76" s="137">
        <f t="shared" ref="V76:V112" si="51">POWER(ep,3)*b_3*COS(3*H76)/k</f>
        <v>0.68189400424050772</v>
      </c>
      <c r="W76" s="137">
        <f t="shared" ref="W76:W112" si="52">POWER(ep,4)*b_4*COS(4*H76)/k</f>
        <v>-0.2654060177771172</v>
      </c>
      <c r="X76" s="137">
        <f t="shared" ref="X76:X112" si="53">POWER(ep,5)*b_5*COS(5*H76)/k</f>
        <v>4.3627788228260043E-2</v>
      </c>
      <c r="Y76" s="138">
        <f t="shared" si="20"/>
        <v>-2.7775985592815036</v>
      </c>
      <c r="AA76" s="141">
        <f t="shared" ref="AA76:AA112" si="54">(ep*a_1*COSH(kd+k*Y76)*COS(H76))*C_o*SQRT(9.81/k)</f>
        <v>-2.0169681722704289</v>
      </c>
      <c r="AB76" s="142">
        <f t="shared" ref="AB76:AB112" si="55">2*POWER(ep,2)*a_2*COSH(2*(kd+k*Y76))*COS(2*H76)*C_o*SQRT(9.81/k)</f>
        <v>-0.12926967504644632</v>
      </c>
      <c r="AC76" s="142">
        <f t="shared" ref="AC76:AC112" si="56">3*POWER(ep,3)*a_3*COSH(3*(kd+k*Y76))*COS(3*H76)*C_o*SQRT(9.81/k)</f>
        <v>7.2021516233441121E-2</v>
      </c>
      <c r="AD76" s="142">
        <f t="shared" ref="AD76:AD112" si="57">4*POWER(ep,4)*a_4*COSH(4*(kd+k*Y76))*COS(4*H76)*C_o*SQRT(9.81/k)</f>
        <v>6.3432914486246123E-3</v>
      </c>
      <c r="AE76" s="142">
        <f t="shared" ref="AE76:AE112" si="58">5*POWER(ep,5)*a_5*COSH(5*(kd+k*Y76))*COS(5*H76)*C_o*SQRT(9.81/k)</f>
        <v>4.513598090337183E-4</v>
      </c>
      <c r="AF76" s="143">
        <f t="shared" si="21"/>
        <v>-2.0674216798257756</v>
      </c>
    </row>
    <row r="77" spans="7:32" x14ac:dyDescent="0.25">
      <c r="G77" s="147">
        <f t="shared" ref="G77:G112" si="59">G76+Dt</f>
        <v>4.6190016577901796</v>
      </c>
      <c r="H77" s="147">
        <f t="shared" si="22"/>
        <v>4.0840704496667346</v>
      </c>
      <c r="I77" s="147">
        <f t="shared" ref="I77:I112" si="60">I76+Dtlin</f>
        <v>5.1349999999999998</v>
      </c>
      <c r="J77" s="35"/>
      <c r="K77" s="156">
        <f t="shared" si="42"/>
        <v>-2.244001600893244</v>
      </c>
      <c r="L77" s="8">
        <f t="shared" si="43"/>
        <v>-1.4831549015733556</v>
      </c>
      <c r="M77" s="8">
        <f t="shared" si="44"/>
        <v>-0.12270581138688288</v>
      </c>
      <c r="N77" s="8">
        <f t="shared" si="45"/>
        <v>3.348822619432968E-2</v>
      </c>
      <c r="O77" s="8">
        <f t="shared" si="46"/>
        <v>1.7772440379585348E-3</v>
      </c>
      <c r="P77" s="8">
        <f t="shared" si="47"/>
        <v>-5.3794815895281195E-18</v>
      </c>
      <c r="Q77" s="157">
        <f t="shared" ref="Q77:Q112" si="61">SUM(L77:P77)</f>
        <v>-1.5705952427279504</v>
      </c>
      <c r="R77" s="33"/>
      <c r="S77" s="136">
        <f t="shared" si="48"/>
        <v>-3.232818887608587</v>
      </c>
      <c r="T77" s="137">
        <f t="shared" si="49"/>
        <v>-2.6924515180258686</v>
      </c>
      <c r="U77" s="137">
        <f t="shared" si="50"/>
        <v>-0.52423353592927757</v>
      </c>
      <c r="V77" s="137">
        <f t="shared" si="51"/>
        <v>0.7400602448027287</v>
      </c>
      <c r="W77" s="137">
        <f t="shared" si="52"/>
        <v>-0.23093504949841576</v>
      </c>
      <c r="X77" s="137">
        <f t="shared" si="53"/>
        <v>-2.1446841301879031E-15</v>
      </c>
      <c r="Y77" s="138">
        <f t="shared" ref="Y77:Y112" si="62">SUM(T77:X77)</f>
        <v>-2.7075598586508351</v>
      </c>
      <c r="AA77" s="141">
        <f t="shared" si="54"/>
        <v>-1.8678701129199542</v>
      </c>
      <c r="AB77" s="142">
        <f t="shared" si="55"/>
        <v>-0.21531772990231327</v>
      </c>
      <c r="AC77" s="142">
        <f t="shared" si="56"/>
        <v>7.9357056987644628E-2</v>
      </c>
      <c r="AD77" s="142">
        <f t="shared" si="57"/>
        <v>5.6320573014316359E-3</v>
      </c>
      <c r="AE77" s="142">
        <f t="shared" si="58"/>
        <v>-2.2755722142083921E-17</v>
      </c>
      <c r="AF77" s="143">
        <f t="shared" ref="AF77:AF112" si="63">SUM(AA77:AE77)</f>
        <v>-1.9981987285331912</v>
      </c>
    </row>
    <row r="78" spans="7:32" x14ac:dyDescent="0.25">
      <c r="G78" s="147">
        <f t="shared" si="59"/>
        <v>4.6900632217561826</v>
      </c>
      <c r="H78" s="147">
        <f t="shared" ref="H78:H112" si="64">H77+2*PI()/100</f>
        <v>4.1469023027385301</v>
      </c>
      <c r="I78" s="147">
        <f t="shared" si="60"/>
        <v>5.2139999999999995</v>
      </c>
      <c r="J78" s="35"/>
      <c r="K78" s="156">
        <f t="shared" si="42"/>
        <v>-2.0456385747086934</v>
      </c>
      <c r="L78" s="8">
        <f t="shared" si="43"/>
        <v>-1.3576688150949316</v>
      </c>
      <c r="M78" s="8">
        <f t="shared" si="44"/>
        <v>-0.17088425855927925</v>
      </c>
      <c r="N78" s="8">
        <f t="shared" si="45"/>
        <v>3.5518805269522974E-2</v>
      </c>
      <c r="O78" s="8">
        <f t="shared" si="46"/>
        <v>1.4318036646883857E-3</v>
      </c>
      <c r="P78" s="8">
        <f t="shared" si="47"/>
        <v>-1.1252053043375103E-4</v>
      </c>
      <c r="Q78" s="157">
        <f t="shared" si="61"/>
        <v>-1.4917149852504332</v>
      </c>
      <c r="R78" s="33"/>
      <c r="S78" s="136">
        <f t="shared" si="48"/>
        <v>-2.9470473723844677</v>
      </c>
      <c r="T78" s="137">
        <f t="shared" si="49"/>
        <v>-2.4544468611850703</v>
      </c>
      <c r="U78" s="137">
        <f t="shared" si="50"/>
        <v>-0.72231556065097424</v>
      </c>
      <c r="V78" s="137">
        <f t="shared" si="51"/>
        <v>0.77200948224123789</v>
      </c>
      <c r="W78" s="137">
        <f t="shared" si="52"/>
        <v>-0.18195358274002779</v>
      </c>
      <c r="X78" s="137">
        <f t="shared" si="53"/>
        <v>-4.3627788228265067E-2</v>
      </c>
      <c r="Y78" s="138">
        <f t="shared" si="62"/>
        <v>-2.6303343105630996</v>
      </c>
      <c r="AA78" s="141">
        <f t="shared" si="54"/>
        <v>-1.7108186184370855</v>
      </c>
      <c r="AB78" s="142">
        <f t="shared" si="55"/>
        <v>-0.29995382680051685</v>
      </c>
      <c r="AC78" s="142">
        <f t="shared" si="56"/>
        <v>8.4176127827864142E-2</v>
      </c>
      <c r="AD78" s="142">
        <f t="shared" si="57"/>
        <v>4.5374455577933273E-3</v>
      </c>
      <c r="AE78" s="142">
        <f t="shared" si="58"/>
        <v>-4.7597428833539711E-4</v>
      </c>
      <c r="AF78" s="143">
        <f t="shared" si="63"/>
        <v>-1.9225348461402805</v>
      </c>
    </row>
    <row r="79" spans="7:32" x14ac:dyDescent="0.25">
      <c r="G79" s="147">
        <f t="shared" si="59"/>
        <v>4.7611247857221857</v>
      </c>
      <c r="H79" s="147">
        <f t="shared" si="64"/>
        <v>4.2097341558103256</v>
      </c>
      <c r="I79" s="147">
        <f t="shared" si="60"/>
        <v>5.2929999999999993</v>
      </c>
      <c r="J79" s="35"/>
      <c r="K79" s="156">
        <f t="shared" si="42"/>
        <v>-1.8392023476331349</v>
      </c>
      <c r="L79" s="8">
        <f t="shared" si="43"/>
        <v>-1.2263747417329893</v>
      </c>
      <c r="M79" s="8">
        <f t="shared" si="44"/>
        <v>-0.21764465444906975</v>
      </c>
      <c r="N79" s="8">
        <f t="shared" si="45"/>
        <v>3.6402546772103896E-2</v>
      </c>
      <c r="O79" s="8">
        <f t="shared" si="46"/>
        <v>9.8058735053032525E-4</v>
      </c>
      <c r="P79" s="8">
        <f t="shared" si="47"/>
        <v>-2.2081906471662494E-4</v>
      </c>
      <c r="Q79" s="157">
        <f t="shared" si="61"/>
        <v>-1.4068570811241414</v>
      </c>
      <c r="R79" s="33"/>
      <c r="S79" s="136">
        <f t="shared" si="48"/>
        <v>-2.6496452075594212</v>
      </c>
      <c r="T79" s="137">
        <f t="shared" si="49"/>
        <v>-2.2067556239132826</v>
      </c>
      <c r="U79" s="137">
        <f t="shared" si="50"/>
        <v>-0.90900623749080423</v>
      </c>
      <c r="V79" s="137">
        <f t="shared" si="51"/>
        <v>0.7766098988917195</v>
      </c>
      <c r="W79" s="137">
        <f t="shared" si="52"/>
        <v>-0.12153930319961651</v>
      </c>
      <c r="X79" s="137">
        <f t="shared" si="53"/>
        <v>-8.2984984572069972E-2</v>
      </c>
      <c r="Y79" s="138">
        <f t="shared" si="62"/>
        <v>-2.5436762502840535</v>
      </c>
      <c r="AA79" s="141">
        <f t="shared" si="54"/>
        <v>-1.546362059926121</v>
      </c>
      <c r="AB79" s="142">
        <f t="shared" si="55"/>
        <v>-0.38216538497480734</v>
      </c>
      <c r="AC79" s="142">
        <f t="shared" si="56"/>
        <v>8.627851136784466E-2</v>
      </c>
      <c r="AD79" s="142">
        <f t="shared" si="57"/>
        <v>3.1075831869639544E-3</v>
      </c>
      <c r="AE79" s="142">
        <f t="shared" si="58"/>
        <v>-9.340925372522882E-4</v>
      </c>
      <c r="AF79" s="143">
        <f t="shared" si="63"/>
        <v>-1.8400754428833721</v>
      </c>
    </row>
    <row r="80" spans="7:32" x14ac:dyDescent="0.25">
      <c r="G80" s="147">
        <f t="shared" si="59"/>
        <v>4.8321863496881887</v>
      </c>
      <c r="H80" s="147">
        <f t="shared" si="64"/>
        <v>4.2725660088821211</v>
      </c>
      <c r="I80" s="147">
        <f t="shared" si="60"/>
        <v>5.371999999999999</v>
      </c>
      <c r="J80" s="35"/>
      <c r="K80" s="156">
        <f t="shared" si="42"/>
        <v>-1.6255076291430954</v>
      </c>
      <c r="L80" s="8">
        <f t="shared" si="43"/>
        <v>-1.0896443762966379</v>
      </c>
      <c r="M80" s="8">
        <f t="shared" si="44"/>
        <v>-0.26244778838996502</v>
      </c>
      <c r="N80" s="8">
        <f t="shared" si="45"/>
        <v>3.6080824251273236E-2</v>
      </c>
      <c r="O80" s="8">
        <f t="shared" si="46"/>
        <v>4.4390368125787758E-4</v>
      </c>
      <c r="P80" s="8">
        <f t="shared" si="47"/>
        <v>-3.1485622473282227E-4</v>
      </c>
      <c r="Q80" s="157">
        <f t="shared" si="61"/>
        <v>-1.3158822929788048</v>
      </c>
      <c r="R80" s="33"/>
      <c r="S80" s="136">
        <f t="shared" si="48"/>
        <v>-2.341786103607888</v>
      </c>
      <c r="T80" s="137">
        <f t="shared" si="49"/>
        <v>-1.9503553303646548</v>
      </c>
      <c r="U80" s="137">
        <f t="shared" si="50"/>
        <v>-1.0813613429513993</v>
      </c>
      <c r="V80" s="137">
        <f t="shared" si="51"/>
        <v>0.7536985227008266</v>
      </c>
      <c r="W80" s="137">
        <f t="shared" si="52"/>
        <v>-5.34882622488837E-2</v>
      </c>
      <c r="X80" s="137">
        <f t="shared" si="53"/>
        <v>-0.11421903243557567</v>
      </c>
      <c r="Y80" s="138">
        <f t="shared" si="62"/>
        <v>-2.4457254452996868</v>
      </c>
      <c r="AA80" s="141">
        <f t="shared" si="54"/>
        <v>-1.3749392704500238</v>
      </c>
      <c r="AB80" s="142">
        <f t="shared" si="55"/>
        <v>-0.46101235647225419</v>
      </c>
      <c r="AC80" s="142">
        <f t="shared" si="56"/>
        <v>8.5524605219975444E-2</v>
      </c>
      <c r="AD80" s="142">
        <f t="shared" si="57"/>
        <v>1.4068064581475022E-3</v>
      </c>
      <c r="AE80" s="142">
        <f t="shared" si="58"/>
        <v>-1.3318868372322963E-3</v>
      </c>
      <c r="AF80" s="143">
        <f t="shared" si="63"/>
        <v>-1.7503521020813875</v>
      </c>
    </row>
    <row r="81" spans="7:32" x14ac:dyDescent="0.25">
      <c r="G81" s="147">
        <f t="shared" si="59"/>
        <v>4.9032479136541918</v>
      </c>
      <c r="H81" s="147">
        <f t="shared" si="64"/>
        <v>4.3353978619539166</v>
      </c>
      <c r="I81" s="147">
        <f t="shared" si="60"/>
        <v>5.4509999999999987</v>
      </c>
      <c r="J81" s="35"/>
      <c r="K81" s="156">
        <f t="shared" si="42"/>
        <v>-1.4053977746646245</v>
      </c>
      <c r="L81" s="8">
        <f t="shared" si="43"/>
        <v>-0.94777307670145139</v>
      </c>
      <c r="M81" s="8">
        <f t="shared" si="44"/>
        <v>-0.30477519242718915</v>
      </c>
      <c r="N81" s="8">
        <f t="shared" si="45"/>
        <v>3.4517073684685665E-2</v>
      </c>
      <c r="O81" s="8">
        <f t="shared" si="46"/>
        <v>-1.5356565938860937E-4</v>
      </c>
      <c r="P81" s="8">
        <f t="shared" si="47"/>
        <v>-3.851851191891855E-4</v>
      </c>
      <c r="Q81" s="157">
        <f t="shared" si="61"/>
        <v>-1.2185699462225326</v>
      </c>
      <c r="R81" s="33"/>
      <c r="S81" s="136">
        <f t="shared" si="48"/>
        <v>-2.0246850397657186</v>
      </c>
      <c r="T81" s="137">
        <f t="shared" si="49"/>
        <v>-1.6862578753596724</v>
      </c>
      <c r="U81" s="137">
        <f t="shared" si="50"/>
        <v>-1.2366627340596958</v>
      </c>
      <c r="V81" s="137">
        <f t="shared" si="51"/>
        <v>0.70408700059241902</v>
      </c>
      <c r="W81" s="137">
        <f t="shared" si="52"/>
        <v>1.7923642935014483E-2</v>
      </c>
      <c r="X81" s="137">
        <f t="shared" si="53"/>
        <v>-0.13427252559349309</v>
      </c>
      <c r="Y81" s="138">
        <f t="shared" si="62"/>
        <v>-2.3351824914854276</v>
      </c>
      <c r="AA81" s="141">
        <f t="shared" si="54"/>
        <v>-1.1968771924874386</v>
      </c>
      <c r="AB81" s="142">
        <f t="shared" si="55"/>
        <v>-0.53558885534964129</v>
      </c>
      <c r="AC81" s="142">
        <f t="shared" si="56"/>
        <v>8.1826844879418742E-2</v>
      </c>
      <c r="AD81" s="142">
        <f t="shared" si="57"/>
        <v>-4.8668663343298094E-4</v>
      </c>
      <c r="AE81" s="142">
        <f t="shared" si="58"/>
        <v>-1.6293948178360256E-3</v>
      </c>
      <c r="AF81" s="143">
        <f t="shared" si="63"/>
        <v>-1.6527552844089302</v>
      </c>
    </row>
    <row r="82" spans="7:32" x14ac:dyDescent="0.25">
      <c r="G82" s="147">
        <f t="shared" si="59"/>
        <v>4.9743094776201948</v>
      </c>
      <c r="H82" s="147">
        <f t="shared" si="64"/>
        <v>4.3982297150257121</v>
      </c>
      <c r="I82" s="147">
        <f t="shared" si="60"/>
        <v>5.5299999999999985</v>
      </c>
      <c r="J82" s="35"/>
      <c r="K82" s="156">
        <f t="shared" si="42"/>
        <v>-1.1797414572347211</v>
      </c>
      <c r="L82" s="8">
        <f t="shared" si="43"/>
        <v>-0.80099109672127722</v>
      </c>
      <c r="M82" s="8">
        <f t="shared" si="44"/>
        <v>-0.34410520935169142</v>
      </c>
      <c r="N82" s="8">
        <f t="shared" si="45"/>
        <v>3.1695271236131292E-2</v>
      </c>
      <c r="O82" s="8">
        <f t="shared" si="46"/>
        <v>-7.8320810056817247E-4</v>
      </c>
      <c r="P82" s="8">
        <f t="shared" si="47"/>
        <v>-4.2349061691017453E-4</v>
      </c>
      <c r="Q82" s="157">
        <f t="shared" si="61"/>
        <v>-1.1146077335543156</v>
      </c>
      <c r="R82" s="33"/>
      <c r="S82" s="136">
        <f t="shared" si="48"/>
        <v>-1.6995934690622025</v>
      </c>
      <c r="T82" s="137">
        <f t="shared" si="49"/>
        <v>-1.4155055308985891</v>
      </c>
      <c r="U82" s="137">
        <f t="shared" si="50"/>
        <v>-1.3724612151053626</v>
      </c>
      <c r="V82" s="137">
        <f t="shared" si="51"/>
        <v>0.62953284547064536</v>
      </c>
      <c r="W82" s="137">
        <f t="shared" si="52"/>
        <v>8.820933971475807E-2</v>
      </c>
      <c r="X82" s="137">
        <f t="shared" si="53"/>
        <v>-0.14118248841462352</v>
      </c>
      <c r="Y82" s="138">
        <f t="shared" si="62"/>
        <v>-2.2114070492331721</v>
      </c>
      <c r="AA82" s="141">
        <f t="shared" si="54"/>
        <v>-1.0124081564268141</v>
      </c>
      <c r="AB82" s="142">
        <f t="shared" si="55"/>
        <v>-0.60497947342626524</v>
      </c>
      <c r="AC82" s="142">
        <f t="shared" si="56"/>
        <v>7.5146120479029466E-2</v>
      </c>
      <c r="AD82" s="142">
        <f t="shared" si="57"/>
        <v>-2.4822335187463553E-3</v>
      </c>
      <c r="AE82" s="142">
        <f t="shared" si="58"/>
        <v>-1.7914408003428541E-3</v>
      </c>
      <c r="AF82" s="143">
        <f t="shared" si="63"/>
        <v>-1.546515183693139</v>
      </c>
    </row>
    <row r="83" spans="7:32" x14ac:dyDescent="0.25">
      <c r="G83" s="147">
        <f t="shared" si="59"/>
        <v>5.0453710415861979</v>
      </c>
      <c r="H83" s="147">
        <f t="shared" si="64"/>
        <v>4.4610615680975076</v>
      </c>
      <c r="I83" s="147">
        <f t="shared" si="60"/>
        <v>5.6089999999999982</v>
      </c>
      <c r="J83" s="35"/>
      <c r="K83" s="156">
        <f t="shared" si="42"/>
        <v>-0.94942923924571643</v>
      </c>
      <c r="L83" s="8">
        <f t="shared" si="43"/>
        <v>-0.64948557826952291</v>
      </c>
      <c r="M83" s="8">
        <f t="shared" si="44"/>
        <v>-0.37989228054882385</v>
      </c>
      <c r="N83" s="8">
        <f t="shared" si="45"/>
        <v>2.7621461023479142E-2</v>
      </c>
      <c r="O83" s="8">
        <f t="shared" si="46"/>
        <v>-1.4127593706918171E-3</v>
      </c>
      <c r="P83" s="8">
        <f t="shared" si="47"/>
        <v>-4.2315437051266273E-4</v>
      </c>
      <c r="Q83" s="157">
        <f t="shared" si="61"/>
        <v>-1.0035923115360723</v>
      </c>
      <c r="R83" s="33"/>
      <c r="S83" s="136">
        <f t="shared" si="48"/>
        <v>-1.3677943794066947</v>
      </c>
      <c r="T83" s="137">
        <f t="shared" si="49"/>
        <v>-1.1391668327900126</v>
      </c>
      <c r="U83" s="137">
        <f t="shared" si="50"/>
        <v>-1.4866151629202284</v>
      </c>
      <c r="V83" s="137">
        <f t="shared" si="51"/>
        <v>0.53267717544911863</v>
      </c>
      <c r="W83" s="137">
        <f t="shared" si="52"/>
        <v>0.15295251926896494</v>
      </c>
      <c r="X83" s="137">
        <f t="shared" si="53"/>
        <v>-0.13427252559349254</v>
      </c>
      <c r="Y83" s="138">
        <f t="shared" si="62"/>
        <v>-2.0744248265856502</v>
      </c>
      <c r="AA83" s="141">
        <f t="shared" si="54"/>
        <v>-0.82170253982382024</v>
      </c>
      <c r="AB83" s="142">
        <f t="shared" si="55"/>
        <v>-0.66822163693129455</v>
      </c>
      <c r="AC83" s="142">
        <f t="shared" si="56"/>
        <v>6.5495477990786935E-2</v>
      </c>
      <c r="AD83" s="142">
        <f t="shared" si="57"/>
        <v>-4.4775875575293637E-3</v>
      </c>
      <c r="AE83" s="142">
        <f t="shared" si="58"/>
        <v>-1.7900260536834267E-3</v>
      </c>
      <c r="AF83" s="143">
        <f t="shared" si="63"/>
        <v>-1.4306963123755405</v>
      </c>
    </row>
    <row r="84" spans="7:32" x14ac:dyDescent="0.25">
      <c r="G84" s="147">
        <f t="shared" si="59"/>
        <v>5.1164326055522009</v>
      </c>
      <c r="H84" s="147">
        <f t="shared" si="64"/>
        <v>4.5238934211693032</v>
      </c>
      <c r="I84" s="147">
        <f t="shared" si="60"/>
        <v>5.6879999999999979</v>
      </c>
      <c r="J84" s="35"/>
      <c r="K84" s="156">
        <f t="shared" si="42"/>
        <v>-0.71537005780236929</v>
      </c>
      <c r="L84" s="8">
        <f t="shared" si="43"/>
        <v>-0.49342871287984547</v>
      </c>
      <c r="M84" s="8">
        <f t="shared" si="44"/>
        <v>-0.41155516010778886</v>
      </c>
      <c r="N84" s="8">
        <f t="shared" si="45"/>
        <v>2.2328352152523209E-2</v>
      </c>
      <c r="O84" s="8">
        <f t="shared" si="46"/>
        <v>-2.006690429337407E-3</v>
      </c>
      <c r="P84" s="8">
        <f t="shared" si="47"/>
        <v>-3.7990279027694002E-4</v>
      </c>
      <c r="Q84" s="157">
        <f t="shared" si="61"/>
        <v>-0.88504211405472544</v>
      </c>
      <c r="R84" s="33"/>
      <c r="S84" s="136">
        <f t="shared" si="48"/>
        <v>-1.0305972302214808</v>
      </c>
      <c r="T84" s="137">
        <f t="shared" si="49"/>
        <v>-0.85833236362823551</v>
      </c>
      <c r="U84" s="137">
        <f t="shared" si="50"/>
        <v>-1.57732430155499</v>
      </c>
      <c r="V84" s="137">
        <f t="shared" si="51"/>
        <v>0.41695115092503093</v>
      </c>
      <c r="W84" s="137">
        <f t="shared" si="52"/>
        <v>0.2080851295174859</v>
      </c>
      <c r="X84" s="137">
        <f t="shared" si="53"/>
        <v>-0.11421903243557403</v>
      </c>
      <c r="Y84" s="138">
        <f t="shared" si="62"/>
        <v>-1.924839417176283</v>
      </c>
      <c r="AA84" s="141">
        <f t="shared" si="54"/>
        <v>-0.62491005265311872</v>
      </c>
      <c r="AB84" s="142">
        <f t="shared" si="55"/>
        <v>-0.7242843035550639</v>
      </c>
      <c r="AC84" s="142">
        <f t="shared" si="56"/>
        <v>5.2951140284548108E-2</v>
      </c>
      <c r="AD84" s="142">
        <f t="shared" si="57"/>
        <v>-6.3601411193290247E-3</v>
      </c>
      <c r="AE84" s="142">
        <f t="shared" si="58"/>
        <v>-1.6070701303950567E-3</v>
      </c>
      <c r="AF84" s="143">
        <f t="shared" si="63"/>
        <v>-1.3042104271733586</v>
      </c>
    </row>
    <row r="85" spans="7:32" x14ac:dyDescent="0.25">
      <c r="G85" s="147">
        <f t="shared" si="59"/>
        <v>5.187494169518204</v>
      </c>
      <c r="H85" s="147">
        <f t="shared" si="64"/>
        <v>4.5867252742410987</v>
      </c>
      <c r="I85" s="147">
        <f t="shared" si="60"/>
        <v>5.7669999999999977</v>
      </c>
      <c r="J85" s="35"/>
      <c r="K85" s="156">
        <f t="shared" si="42"/>
        <v>-0.47848763756236773</v>
      </c>
      <c r="L85" s="8">
        <f t="shared" si="43"/>
        <v>-0.333006285487293</v>
      </c>
      <c r="M85" s="8">
        <f t="shared" si="44"/>
        <v>-0.43847811994754188</v>
      </c>
      <c r="N85" s="8">
        <f t="shared" si="45"/>
        <v>1.5881999048417691E-2</v>
      </c>
      <c r="O85" s="8">
        <f t="shared" si="46"/>
        <v>-2.5270191991046344E-3</v>
      </c>
      <c r="P85" s="8">
        <f t="shared" si="47"/>
        <v>-2.9253113433557945E-4</v>
      </c>
      <c r="Q85" s="157">
        <f t="shared" si="61"/>
        <v>-0.75842195671985735</v>
      </c>
      <c r="R85" s="33"/>
      <c r="S85" s="136">
        <f t="shared" si="48"/>
        <v>-0.68933278460367053</v>
      </c>
      <c r="T85" s="137">
        <f t="shared" si="49"/>
        <v>-0.57411044876197415</v>
      </c>
      <c r="U85" s="137">
        <f t="shared" si="50"/>
        <v>-1.6431580937063648</v>
      </c>
      <c r="V85" s="137">
        <f t="shared" si="51"/>
        <v>0.28645442401150401</v>
      </c>
      <c r="W85" s="137">
        <f t="shared" si="52"/>
        <v>0.25014298579484939</v>
      </c>
      <c r="X85" s="137">
        <f t="shared" si="53"/>
        <v>-8.2984984572068557E-2</v>
      </c>
      <c r="Y85" s="138">
        <f t="shared" si="62"/>
        <v>-1.7636561172340539</v>
      </c>
      <c r="AA85" s="141">
        <f t="shared" si="54"/>
        <v>-0.42220123032727397</v>
      </c>
      <c r="AB85" s="142">
        <f t="shared" si="55"/>
        <v>-0.77207027551989293</v>
      </c>
      <c r="AC85" s="142">
        <f t="shared" si="56"/>
        <v>3.7668488901396797E-2</v>
      </c>
      <c r="AD85" s="142">
        <f t="shared" si="57"/>
        <v>-8.0094969663526416E-3</v>
      </c>
      <c r="AE85" s="142">
        <f t="shared" si="58"/>
        <v>-1.2374743301814095E-3</v>
      </c>
      <c r="AF85" s="143">
        <f t="shared" si="63"/>
        <v>-1.1658499882423043</v>
      </c>
    </row>
    <row r="86" spans="7:32" x14ac:dyDescent="0.25">
      <c r="G86" s="147">
        <f t="shared" si="59"/>
        <v>5.258555733484207</v>
      </c>
      <c r="H86" s="147">
        <f t="shared" si="64"/>
        <v>4.6495571273128942</v>
      </c>
      <c r="I86" s="147">
        <f t="shared" si="60"/>
        <v>5.8459999999999974</v>
      </c>
      <c r="J86" s="35"/>
      <c r="K86" s="156">
        <f t="shared" si="42"/>
        <v>-0.23971684521711559</v>
      </c>
      <c r="L86" s="8">
        <f t="shared" si="43"/>
        <v>-0.16844032623397653</v>
      </c>
      <c r="M86" s="8">
        <f t="shared" si="44"/>
        <v>-0.46002660367936243</v>
      </c>
      <c r="N86" s="8">
        <f t="shared" si="45"/>
        <v>8.3887267829017287E-3</v>
      </c>
      <c r="O86" s="8">
        <f t="shared" si="46"/>
        <v>-2.9347973917695498E-3</v>
      </c>
      <c r="P86" s="8">
        <f t="shared" si="47"/>
        <v>-1.636096335175404E-4</v>
      </c>
      <c r="Q86" s="157">
        <f t="shared" si="61"/>
        <v>-0.62317661015572434</v>
      </c>
      <c r="R86" s="33"/>
      <c r="S86" s="136">
        <f t="shared" si="48"/>
        <v>-0.34534785741122265</v>
      </c>
      <c r="T86" s="137">
        <f t="shared" si="49"/>
        <v>-0.2876227822405642</v>
      </c>
      <c r="U86" s="137">
        <f t="shared" si="50"/>
        <v>-1.683078301144924</v>
      </c>
      <c r="V86" s="137">
        <f t="shared" si="51"/>
        <v>0.14580990631762974</v>
      </c>
      <c r="W86" s="137">
        <f t="shared" si="52"/>
        <v>0.27648343831317329</v>
      </c>
      <c r="X86" s="137">
        <f t="shared" si="53"/>
        <v>-4.3627788228262444E-2</v>
      </c>
      <c r="Y86" s="138">
        <f t="shared" si="62"/>
        <v>-1.5920355269829476</v>
      </c>
      <c r="AA86" s="141">
        <f t="shared" si="54"/>
        <v>-0.21380013550889118</v>
      </c>
      <c r="AB86" s="142">
        <f t="shared" si="55"/>
        <v>-0.81044465367334639</v>
      </c>
      <c r="AC86" s="142">
        <f t="shared" si="56"/>
        <v>1.9898621061663582E-2</v>
      </c>
      <c r="AD86" s="142">
        <f t="shared" si="57"/>
        <v>-9.3021816134735407E-3</v>
      </c>
      <c r="AE86" s="142">
        <f t="shared" si="58"/>
        <v>-6.921092211494798E-4</v>
      </c>
      <c r="AF86" s="143">
        <f t="shared" si="63"/>
        <v>-1.0143404589551968</v>
      </c>
    </row>
    <row r="87" spans="7:32" x14ac:dyDescent="0.25">
      <c r="G87" s="147">
        <f t="shared" si="59"/>
        <v>5.3296172974502101</v>
      </c>
      <c r="H87" s="147">
        <f t="shared" si="64"/>
        <v>4.7123889803846897</v>
      </c>
      <c r="I87" s="147">
        <f t="shared" si="60"/>
        <v>5.9249999999999972</v>
      </c>
      <c r="J87" s="35"/>
      <c r="K87" s="156">
        <f t="shared" si="42"/>
        <v>-7.0159171655574199E-16</v>
      </c>
      <c r="L87" s="8">
        <f t="shared" si="43"/>
        <v>-4.9802910531789595E-16</v>
      </c>
      <c r="M87" s="8">
        <f t="shared" si="44"/>
        <v>-0.47557549450467457</v>
      </c>
      <c r="N87" s="8">
        <f t="shared" si="45"/>
        <v>2.5663511835746432E-17</v>
      </c>
      <c r="O87" s="8">
        <f t="shared" si="46"/>
        <v>-3.192342593536456E-3</v>
      </c>
      <c r="P87" s="8">
        <f t="shared" si="47"/>
        <v>-1.5232366108313694E-18</v>
      </c>
      <c r="Q87" s="157">
        <f t="shared" si="61"/>
        <v>-0.47876783709821152</v>
      </c>
      <c r="R87" s="33"/>
      <c r="S87" s="136">
        <f t="shared" si="48"/>
        <v>-1.0107474752996115E-15</v>
      </c>
      <c r="T87" s="137">
        <f t="shared" si="49"/>
        <v>-8.4180050563375221E-16</v>
      </c>
      <c r="U87" s="137">
        <f t="shared" si="50"/>
        <v>-1.6964553583521853</v>
      </c>
      <c r="V87" s="137">
        <f t="shared" si="51"/>
        <v>4.2900463060397935E-16</v>
      </c>
      <c r="W87" s="137">
        <f t="shared" si="52"/>
        <v>0.28545141956732339</v>
      </c>
      <c r="X87" s="137">
        <f t="shared" si="53"/>
        <v>-3.8051760955486074E-16</v>
      </c>
      <c r="Y87" s="138">
        <f t="shared" si="62"/>
        <v>-1.4110039387848627</v>
      </c>
      <c r="AA87" s="141">
        <f t="shared" si="54"/>
        <v>-6.3288935048883229E-16</v>
      </c>
      <c r="AB87" s="142">
        <f t="shared" si="55"/>
        <v>-0.83828600817932641</v>
      </c>
      <c r="AC87" s="142">
        <f t="shared" si="56"/>
        <v>6.0882952643272216E-17</v>
      </c>
      <c r="AD87" s="142">
        <f t="shared" si="57"/>
        <v>-1.0118722872238917E-2</v>
      </c>
      <c r="AE87" s="142">
        <f t="shared" si="58"/>
        <v>-6.4436905404827962E-18</v>
      </c>
      <c r="AF87" s="143">
        <f t="shared" si="63"/>
        <v>-0.84840473105156589</v>
      </c>
    </row>
    <row r="88" spans="7:32" x14ac:dyDescent="0.25">
      <c r="G88" s="147">
        <f t="shared" si="59"/>
        <v>5.4006788614162131</v>
      </c>
      <c r="H88" s="147">
        <f t="shared" si="64"/>
        <v>4.7752208334564852</v>
      </c>
      <c r="I88" s="147">
        <f t="shared" si="60"/>
        <v>6.0039999999999969</v>
      </c>
      <c r="J88" s="35"/>
      <c r="K88" s="156">
        <f t="shared" si="42"/>
        <v>0.23971684521711414</v>
      </c>
      <c r="L88" s="8">
        <f t="shared" si="43"/>
        <v>0.17200370987027463</v>
      </c>
      <c r="M88" s="8">
        <f t="shared" si="44"/>
        <v>-0.48454470884978101</v>
      </c>
      <c r="N88" s="8">
        <f t="shared" si="45"/>
        <v>-9.08692193459135E-3</v>
      </c>
      <c r="O88" s="8">
        <f t="shared" si="46"/>
        <v>-3.2660287148411999E-3</v>
      </c>
      <c r="P88" s="8">
        <f t="shared" si="47"/>
        <v>1.8701814703649019E-4</v>
      </c>
      <c r="Q88" s="157">
        <f t="shared" si="61"/>
        <v>-0.32470693148190249</v>
      </c>
      <c r="R88" s="33"/>
      <c r="S88" s="136">
        <f t="shared" si="48"/>
        <v>0.34534785741122059</v>
      </c>
      <c r="T88" s="137">
        <f t="shared" si="49"/>
        <v>0.28762278224056248</v>
      </c>
      <c r="U88" s="137">
        <f t="shared" si="50"/>
        <v>-1.6830783011449242</v>
      </c>
      <c r="V88" s="137">
        <f t="shared" si="51"/>
        <v>-0.14580990631762891</v>
      </c>
      <c r="W88" s="137">
        <f t="shared" si="52"/>
        <v>0.2764834383131734</v>
      </c>
      <c r="X88" s="137">
        <f t="shared" si="53"/>
        <v>4.3627788228262673E-2</v>
      </c>
      <c r="Y88" s="138">
        <f t="shared" si="62"/>
        <v>-1.2211541986805545</v>
      </c>
      <c r="AA88" s="141">
        <f t="shared" si="54"/>
        <v>0.21884428464735384</v>
      </c>
      <c r="AB88" s="142">
        <f t="shared" si="55"/>
        <v>-0.85455064801047342</v>
      </c>
      <c r="AC88" s="142">
        <f t="shared" si="56"/>
        <v>-2.1559933783457341E-2</v>
      </c>
      <c r="AD88" s="142">
        <f t="shared" si="57"/>
        <v>-1.0352498562840002E-2</v>
      </c>
      <c r="AE88" s="142">
        <f t="shared" si="58"/>
        <v>7.911384104699712E-4</v>
      </c>
      <c r="AF88" s="143">
        <f t="shared" si="63"/>
        <v>-0.666827657298947</v>
      </c>
    </row>
    <row r="89" spans="7:32" x14ac:dyDescent="0.25">
      <c r="G89" s="147">
        <f t="shared" si="59"/>
        <v>5.4717404253822162</v>
      </c>
      <c r="H89" s="147">
        <f t="shared" si="64"/>
        <v>4.8380526865282807</v>
      </c>
      <c r="I89" s="147">
        <f t="shared" si="60"/>
        <v>6.0829999999999966</v>
      </c>
      <c r="J89" s="35"/>
      <c r="K89" s="156">
        <f t="shared" si="42"/>
        <v>0.47848763756236629</v>
      </c>
      <c r="L89" s="8">
        <f t="shared" si="43"/>
        <v>0.34724153991634876</v>
      </c>
      <c r="M89" s="8">
        <f t="shared" si="44"/>
        <v>-0.48643397963783919</v>
      </c>
      <c r="N89" s="8">
        <f t="shared" si="45"/>
        <v>-1.8633838911010222E-2</v>
      </c>
      <c r="O89" s="8">
        <f t="shared" si="46"/>
        <v>-3.1291918607650876E-3</v>
      </c>
      <c r="P89" s="8">
        <f t="shared" si="47"/>
        <v>3.8216120295008979E-4</v>
      </c>
      <c r="Q89" s="157">
        <f t="shared" si="61"/>
        <v>-0.16057330929031566</v>
      </c>
      <c r="R89" s="33"/>
      <c r="S89" s="136">
        <f t="shared" si="48"/>
        <v>0.68933278460366842</v>
      </c>
      <c r="T89" s="137">
        <f t="shared" si="49"/>
        <v>0.57411044876197226</v>
      </c>
      <c r="U89" s="137">
        <f t="shared" si="50"/>
        <v>-1.643158093706365</v>
      </c>
      <c r="V89" s="137">
        <f t="shared" si="51"/>
        <v>-0.28645442401150323</v>
      </c>
      <c r="W89" s="137">
        <f t="shared" si="52"/>
        <v>0.25014298579484961</v>
      </c>
      <c r="X89" s="137">
        <f t="shared" si="53"/>
        <v>8.2984984572067932E-2</v>
      </c>
      <c r="Y89" s="138">
        <f t="shared" si="62"/>
        <v>-1.0223740985889784</v>
      </c>
      <c r="AA89" s="141">
        <f t="shared" si="54"/>
        <v>0.44234937609600461</v>
      </c>
      <c r="AB89" s="142">
        <f t="shared" si="55"/>
        <v>-0.85833530776507416</v>
      </c>
      <c r="AC89" s="142">
        <f t="shared" si="56"/>
        <v>-4.4216266530901306E-2</v>
      </c>
      <c r="AD89" s="142">
        <f t="shared" si="57"/>
        <v>-9.9189515626560646E-3</v>
      </c>
      <c r="AE89" s="142">
        <f t="shared" si="58"/>
        <v>1.616652223338331E-3</v>
      </c>
      <c r="AF89" s="143">
        <f t="shared" si="63"/>
        <v>-0.46850449753928858</v>
      </c>
    </row>
    <row r="90" spans="7:32" x14ac:dyDescent="0.25">
      <c r="G90" s="147">
        <f t="shared" si="59"/>
        <v>5.5428019893482192</v>
      </c>
      <c r="H90" s="147">
        <f t="shared" si="64"/>
        <v>4.9008845396000762</v>
      </c>
      <c r="I90" s="147">
        <f t="shared" si="60"/>
        <v>6.1619999999999964</v>
      </c>
      <c r="J90" s="35"/>
      <c r="K90" s="156">
        <f t="shared" si="42"/>
        <v>0.71537005780236784</v>
      </c>
      <c r="L90" s="8">
        <f t="shared" si="43"/>
        <v>0.5254065565711078</v>
      </c>
      <c r="M90" s="8">
        <f t="shared" si="44"/>
        <v>-0.48084730442526336</v>
      </c>
      <c r="N90" s="8">
        <f t="shared" si="45"/>
        <v>-2.8371784565142531E-2</v>
      </c>
      <c r="O90" s="8">
        <f t="shared" si="46"/>
        <v>-2.7645575793802135E-3</v>
      </c>
      <c r="P90" s="8">
        <f t="shared" si="47"/>
        <v>5.6711497691562692E-4</v>
      </c>
      <c r="Q90" s="157">
        <f t="shared" si="61"/>
        <v>1.3990024978237325E-2</v>
      </c>
      <c r="R90" s="33"/>
      <c r="S90" s="136">
        <f t="shared" si="48"/>
        <v>1.0305972302214788</v>
      </c>
      <c r="T90" s="137">
        <f t="shared" si="49"/>
        <v>0.85833236362823373</v>
      </c>
      <c r="U90" s="137">
        <f t="shared" si="50"/>
        <v>-1.5773243015549907</v>
      </c>
      <c r="V90" s="137">
        <f t="shared" si="51"/>
        <v>-0.41695115092503027</v>
      </c>
      <c r="W90" s="137">
        <f t="shared" si="52"/>
        <v>0.20808512951748617</v>
      </c>
      <c r="X90" s="137">
        <f t="shared" si="53"/>
        <v>0.11421903243557417</v>
      </c>
      <c r="Y90" s="138">
        <f t="shared" si="62"/>
        <v>-0.81363892689872686</v>
      </c>
      <c r="AA90" s="141">
        <f t="shared" si="54"/>
        <v>0.67016042881552917</v>
      </c>
      <c r="AB90" s="142">
        <f t="shared" si="55"/>
        <v>-0.84892115047167138</v>
      </c>
      <c r="AC90" s="142">
        <f t="shared" si="56"/>
        <v>-6.733077448607741E-2</v>
      </c>
      <c r="AD90" s="142">
        <f t="shared" si="57"/>
        <v>-8.7632874569019293E-3</v>
      </c>
      <c r="AE90" s="142">
        <f t="shared" si="58"/>
        <v>2.3990665359279201E-3</v>
      </c>
      <c r="AF90" s="143">
        <f t="shared" si="63"/>
        <v>-0.25245571706319364</v>
      </c>
    </row>
    <row r="91" spans="7:32" x14ac:dyDescent="0.25">
      <c r="G91" s="147">
        <f t="shared" si="59"/>
        <v>5.6138635533142223</v>
      </c>
      <c r="H91" s="147">
        <f t="shared" si="64"/>
        <v>4.9637163926718717</v>
      </c>
      <c r="I91" s="147">
        <f t="shared" si="60"/>
        <v>6.2409999999999961</v>
      </c>
      <c r="J91" s="35"/>
      <c r="K91" s="156">
        <f t="shared" si="42"/>
        <v>0.9494292392457151</v>
      </c>
      <c r="L91" s="8">
        <f t="shared" si="43"/>
        <v>0.70626728484551549</v>
      </c>
      <c r="M91" s="8">
        <f t="shared" si="44"/>
        <v>-0.46749825053403055</v>
      </c>
      <c r="N91" s="8">
        <f t="shared" si="45"/>
        <v>-3.8014571970500316E-2</v>
      </c>
      <c r="O91" s="8">
        <f t="shared" si="46"/>
        <v>-2.1656399457428239E-3</v>
      </c>
      <c r="P91" s="8">
        <f t="shared" si="47"/>
        <v>7.2191343980983604E-4</v>
      </c>
      <c r="Q91" s="157">
        <f t="shared" si="61"/>
        <v>0.19931073583505166</v>
      </c>
      <c r="R91" s="33"/>
      <c r="S91" s="136">
        <f t="shared" si="48"/>
        <v>1.3677943794066927</v>
      </c>
      <c r="T91" s="137">
        <f t="shared" si="49"/>
        <v>1.1391668327900111</v>
      </c>
      <c r="U91" s="137">
        <f t="shared" si="50"/>
        <v>-1.4866151629202291</v>
      </c>
      <c r="V91" s="137">
        <f t="shared" si="51"/>
        <v>-0.53267717544911808</v>
      </c>
      <c r="W91" s="137">
        <f t="shared" si="52"/>
        <v>0.1529525192689653</v>
      </c>
      <c r="X91" s="137">
        <f t="shared" si="53"/>
        <v>0.13427252559349229</v>
      </c>
      <c r="Y91" s="138">
        <f t="shared" si="62"/>
        <v>-0.59290046071687863</v>
      </c>
      <c r="AA91" s="141">
        <f t="shared" si="54"/>
        <v>0.90202505814420275</v>
      </c>
      <c r="AB91" s="142">
        <f t="shared" si="55"/>
        <v>-0.82578334582340229</v>
      </c>
      <c r="AC91" s="142">
        <f t="shared" si="56"/>
        <v>-9.0224104165113117E-2</v>
      </c>
      <c r="AD91" s="142">
        <f t="shared" si="57"/>
        <v>-6.8649123660985446E-3</v>
      </c>
      <c r="AE91" s="142">
        <f t="shared" si="58"/>
        <v>3.0539179250715421E-3</v>
      </c>
      <c r="AF91" s="143">
        <f t="shared" si="63"/>
        <v>-1.7793386285339659E-2</v>
      </c>
    </row>
    <row r="92" spans="7:32" x14ac:dyDescent="0.25">
      <c r="G92" s="147">
        <f t="shared" si="59"/>
        <v>5.6849251172802253</v>
      </c>
      <c r="H92" s="147">
        <f t="shared" si="64"/>
        <v>5.0265482457436672</v>
      </c>
      <c r="I92" s="147">
        <f t="shared" si="60"/>
        <v>6.3199999999999958</v>
      </c>
      <c r="J92" s="35"/>
      <c r="K92" s="156">
        <f t="shared" si="42"/>
        <v>1.1797414572347198</v>
      </c>
      <c r="L92" s="8">
        <f t="shared" si="43"/>
        <v>0.88972580055445738</v>
      </c>
      <c r="M92" s="8">
        <f t="shared" si="44"/>
        <v>-0.4461902657477288</v>
      </c>
      <c r="N92" s="8">
        <f t="shared" si="45"/>
        <v>-4.7272243055453765E-2</v>
      </c>
      <c r="O92" s="8">
        <f t="shared" si="46"/>
        <v>-1.3368326543095603E-3</v>
      </c>
      <c r="P92" s="8">
        <f t="shared" si="47"/>
        <v>8.2642487251471713E-4</v>
      </c>
      <c r="Q92" s="157">
        <f t="shared" si="61"/>
        <v>0.39575288396948</v>
      </c>
      <c r="R92" s="33"/>
      <c r="S92" s="136">
        <f t="shared" si="48"/>
        <v>1.6995934690622005</v>
      </c>
      <c r="T92" s="137">
        <f t="shared" si="49"/>
        <v>1.4155055308985875</v>
      </c>
      <c r="U92" s="137">
        <f t="shared" si="50"/>
        <v>-1.3724612151053635</v>
      </c>
      <c r="V92" s="137">
        <f t="shared" si="51"/>
        <v>-0.62953284547064492</v>
      </c>
      <c r="W92" s="137">
        <f t="shared" si="52"/>
        <v>8.8209339714758472E-2</v>
      </c>
      <c r="X92" s="137">
        <f t="shared" si="53"/>
        <v>0.14118248841462352</v>
      </c>
      <c r="Y92" s="138">
        <f t="shared" si="62"/>
        <v>-0.35709670154803885</v>
      </c>
      <c r="AA92" s="141">
        <f t="shared" si="54"/>
        <v>1.1378734661296395</v>
      </c>
      <c r="AB92" s="142">
        <f t="shared" si="55"/>
        <v>-0.78855584515066568</v>
      </c>
      <c r="AC92" s="142">
        <f t="shared" si="56"/>
        <v>-0.11220772141714802</v>
      </c>
      <c r="AD92" s="142">
        <f t="shared" si="57"/>
        <v>-4.2377238307207297E-3</v>
      </c>
      <c r="AE92" s="142">
        <f t="shared" si="58"/>
        <v>3.4960414414103571E-3</v>
      </c>
      <c r="AF92" s="143">
        <f t="shared" si="63"/>
        <v>0.23636821717251538</v>
      </c>
    </row>
    <row r="93" spans="7:32" x14ac:dyDescent="0.25">
      <c r="G93" s="147">
        <f t="shared" si="59"/>
        <v>5.7559866812462284</v>
      </c>
      <c r="H93" s="147">
        <f t="shared" si="64"/>
        <v>5.0893800988154627</v>
      </c>
      <c r="I93" s="147">
        <f t="shared" si="60"/>
        <v>6.3989999999999956</v>
      </c>
      <c r="J93" s="35"/>
      <c r="K93" s="156">
        <f t="shared" si="42"/>
        <v>1.4053977746646231</v>
      </c>
      <c r="L93" s="8">
        <f t="shared" si="43"/>
        <v>1.0758712015492737</v>
      </c>
      <c r="M93" s="8">
        <f t="shared" si="44"/>
        <v>-0.41677082174004837</v>
      </c>
      <c r="N93" s="8">
        <f t="shared" si="45"/>
        <v>-5.5860184289710388E-2</v>
      </c>
      <c r="O93" s="8">
        <f t="shared" si="46"/>
        <v>-2.9234924595830067E-4</v>
      </c>
      <c r="P93" s="8">
        <f t="shared" si="47"/>
        <v>8.6160705351737209E-4</v>
      </c>
      <c r="Q93" s="157">
        <f t="shared" si="61"/>
        <v>0.60380945332707403</v>
      </c>
      <c r="R93" s="33"/>
      <c r="S93" s="136">
        <f t="shared" si="48"/>
        <v>2.0246850397657168</v>
      </c>
      <c r="T93" s="137">
        <f t="shared" si="49"/>
        <v>1.6862578753596709</v>
      </c>
      <c r="U93" s="137">
        <f t="shared" si="50"/>
        <v>-1.2366627340596965</v>
      </c>
      <c r="V93" s="137">
        <f t="shared" si="51"/>
        <v>-0.70408700059241869</v>
      </c>
      <c r="W93" s="137">
        <f t="shared" si="52"/>
        <v>1.7923642935014899E-2</v>
      </c>
      <c r="X93" s="137">
        <f t="shared" si="53"/>
        <v>0.13427252559349331</v>
      </c>
      <c r="Y93" s="138">
        <f t="shared" si="62"/>
        <v>-0.10229569076393613</v>
      </c>
      <c r="AA93" s="141">
        <f t="shared" si="54"/>
        <v>1.3778911573266859</v>
      </c>
      <c r="AB93" s="142">
        <f t="shared" si="55"/>
        <v>-0.73694939739370913</v>
      </c>
      <c r="AC93" s="142">
        <f t="shared" si="56"/>
        <v>-0.13260555626396731</v>
      </c>
      <c r="AD93" s="142">
        <f t="shared" si="57"/>
        <v>-9.2675304112022181E-4</v>
      </c>
      <c r="AE93" s="142">
        <f t="shared" si="58"/>
        <v>3.6448806011249182E-3</v>
      </c>
      <c r="AF93" s="143">
        <f t="shared" si="63"/>
        <v>0.51105433122901411</v>
      </c>
    </row>
    <row r="94" spans="7:32" x14ac:dyDescent="0.25">
      <c r="G94" s="147">
        <f t="shared" si="59"/>
        <v>5.8270482452122314</v>
      </c>
      <c r="H94" s="147">
        <f t="shared" si="64"/>
        <v>5.1522119518872582</v>
      </c>
      <c r="I94" s="147">
        <f t="shared" si="60"/>
        <v>6.4779999999999953</v>
      </c>
      <c r="J94" s="35"/>
      <c r="K94" s="156">
        <f t="shared" si="42"/>
        <v>1.6255076291430941</v>
      </c>
      <c r="L94" s="8">
        <f t="shared" si="43"/>
        <v>1.2650181239937703</v>
      </c>
      <c r="M94" s="8">
        <f t="shared" si="44"/>
        <v>-0.37906360127825656</v>
      </c>
      <c r="N94" s="8">
        <f t="shared" si="45"/>
        <v>-6.3499930639221214E-2</v>
      </c>
      <c r="O94" s="8">
        <f t="shared" si="46"/>
        <v>9.4535397273358488E-4</v>
      </c>
      <c r="P94" s="8">
        <f t="shared" si="47"/>
        <v>8.1029553144472085E-4</v>
      </c>
      <c r="Q94" s="157">
        <f t="shared" si="61"/>
        <v>0.82421024158047085</v>
      </c>
      <c r="R94" s="33"/>
      <c r="S94" s="136">
        <f t="shared" si="48"/>
        <v>2.3417861036078862</v>
      </c>
      <c r="T94" s="137">
        <f t="shared" si="49"/>
        <v>1.9503553303646533</v>
      </c>
      <c r="U94" s="137">
        <f t="shared" si="50"/>
        <v>-1.0813613429514002</v>
      </c>
      <c r="V94" s="137">
        <f t="shared" si="51"/>
        <v>-0.75369852270082638</v>
      </c>
      <c r="W94" s="137">
        <f t="shared" si="52"/>
        <v>-5.3488262248883284E-2</v>
      </c>
      <c r="X94" s="137">
        <f t="shared" si="53"/>
        <v>0.11421903243557552</v>
      </c>
      <c r="Y94" s="138">
        <f t="shared" si="62"/>
        <v>0.17602623489911892</v>
      </c>
      <c r="AA94" s="141">
        <f t="shared" si="54"/>
        <v>1.6225697971139696</v>
      </c>
      <c r="AB94" s="142">
        <f t="shared" si="55"/>
        <v>-0.67063050491223331</v>
      </c>
      <c r="AC94" s="142">
        <f t="shared" si="56"/>
        <v>-0.15075589382383098</v>
      </c>
      <c r="AD94" s="142">
        <f t="shared" si="57"/>
        <v>2.9968328809229406E-3</v>
      </c>
      <c r="AE94" s="142">
        <f t="shared" si="58"/>
        <v>3.4278222000452929E-3</v>
      </c>
      <c r="AF94" s="143">
        <f t="shared" si="63"/>
        <v>0.80760805345887354</v>
      </c>
    </row>
    <row r="95" spans="7:32" x14ac:dyDescent="0.25">
      <c r="G95" s="147">
        <f t="shared" si="59"/>
        <v>5.8981098091782345</v>
      </c>
      <c r="H95" s="147">
        <f t="shared" si="64"/>
        <v>5.2150438049590537</v>
      </c>
      <c r="I95" s="147">
        <f t="shared" si="60"/>
        <v>6.5569999999999951</v>
      </c>
      <c r="J95" s="35"/>
      <c r="K95" s="156">
        <f t="shared" si="42"/>
        <v>1.8392023476331336</v>
      </c>
      <c r="L95" s="8">
        <f t="shared" si="43"/>
        <v>1.4577204398783337</v>
      </c>
      <c r="M95" s="8">
        <f t="shared" si="44"/>
        <v>-0.33278792381519656</v>
      </c>
      <c r="N95" s="8">
        <f t="shared" si="45"/>
        <v>-6.9908920536628352E-2</v>
      </c>
      <c r="O95" s="8">
        <f t="shared" si="46"/>
        <v>2.3466636824677665E-3</v>
      </c>
      <c r="P95" s="8">
        <f t="shared" si="47"/>
        <v>6.5752037606903646E-4</v>
      </c>
      <c r="Q95" s="157">
        <f t="shared" si="61"/>
        <v>1.0580277795850457</v>
      </c>
      <c r="R95" s="33"/>
      <c r="S95" s="136">
        <f t="shared" si="48"/>
        <v>2.6496452075594195</v>
      </c>
      <c r="T95" s="137">
        <f t="shared" si="49"/>
        <v>2.2067556239132808</v>
      </c>
      <c r="U95" s="137">
        <f t="shared" si="50"/>
        <v>-0.90900623749080534</v>
      </c>
      <c r="V95" s="137">
        <f t="shared" si="51"/>
        <v>-0.7766098988917195</v>
      </c>
      <c r="W95" s="137">
        <f t="shared" si="52"/>
        <v>-0.12153930319961612</v>
      </c>
      <c r="X95" s="137">
        <f t="shared" si="53"/>
        <v>8.2984984572070597E-2</v>
      </c>
      <c r="Y95" s="138">
        <f t="shared" si="62"/>
        <v>0.48258516890321035</v>
      </c>
      <c r="AA95" s="141">
        <f t="shared" si="54"/>
        <v>1.8727226561541765</v>
      </c>
      <c r="AB95" s="142">
        <f t="shared" si="55"/>
        <v>-0.58907791707066259</v>
      </c>
      <c r="AC95" s="142">
        <f t="shared" si="56"/>
        <v>-0.16598701663120857</v>
      </c>
      <c r="AD95" s="142">
        <f t="shared" si="57"/>
        <v>7.4391708907681139E-3</v>
      </c>
      <c r="AE95" s="142">
        <f t="shared" si="58"/>
        <v>2.7815364626804905E-3</v>
      </c>
      <c r="AF95" s="143">
        <f t="shared" si="63"/>
        <v>1.127878429805754</v>
      </c>
    </row>
    <row r="96" spans="7:32" x14ac:dyDescent="0.25">
      <c r="G96" s="147">
        <f t="shared" si="59"/>
        <v>5.9691713731442375</v>
      </c>
      <c r="H96" s="147">
        <f t="shared" si="64"/>
        <v>5.2778756580308492</v>
      </c>
      <c r="I96" s="147">
        <f t="shared" si="60"/>
        <v>6.6359999999999948</v>
      </c>
      <c r="J96" s="35"/>
      <c r="K96" s="156">
        <f t="shared" si="42"/>
        <v>2.045638574708692</v>
      </c>
      <c r="L96" s="8">
        <f t="shared" si="43"/>
        <v>1.6547515978603329</v>
      </c>
      <c r="M96" s="8">
        <f t="shared" si="44"/>
        <v>-0.27747846594384723</v>
      </c>
      <c r="N96" s="8">
        <f t="shared" si="45"/>
        <v>-7.4778389879326931E-2</v>
      </c>
      <c r="O96" s="8">
        <f t="shared" si="46"/>
        <v>3.874216301464123E-3</v>
      </c>
      <c r="P96" s="8">
        <f t="shared" si="47"/>
        <v>3.9065270062350589E-4</v>
      </c>
      <c r="Q96" s="157">
        <f t="shared" si="61"/>
        <v>1.3067596110392465</v>
      </c>
      <c r="R96" s="33"/>
      <c r="S96" s="136">
        <f t="shared" si="48"/>
        <v>2.9470473723844659</v>
      </c>
      <c r="T96" s="137">
        <f t="shared" si="49"/>
        <v>2.4544468611850689</v>
      </c>
      <c r="U96" s="137">
        <f t="shared" si="50"/>
        <v>-0.72231556065097535</v>
      </c>
      <c r="V96" s="137">
        <f t="shared" si="51"/>
        <v>-0.77200948224123789</v>
      </c>
      <c r="W96" s="137">
        <f t="shared" si="52"/>
        <v>-0.18195358274002746</v>
      </c>
      <c r="X96" s="137">
        <f t="shared" si="53"/>
        <v>4.3627788228264845E-2</v>
      </c>
      <c r="Y96" s="138">
        <f t="shared" si="62"/>
        <v>0.82179602378109295</v>
      </c>
      <c r="AA96" s="141">
        <f t="shared" si="54"/>
        <v>2.129453242329808</v>
      </c>
      <c r="AB96" s="142">
        <f t="shared" si="55"/>
        <v>-0.49144010322791515</v>
      </c>
      <c r="AC96" s="142">
        <f t="shared" si="56"/>
        <v>-0.17756468270895445</v>
      </c>
      <c r="AD96" s="142">
        <f t="shared" si="57"/>
        <v>1.2281819289210972E-2</v>
      </c>
      <c r="AE96" s="142">
        <f t="shared" si="58"/>
        <v>1.6525970951450546E-3</v>
      </c>
      <c r="AF96" s="143">
        <f t="shared" si="63"/>
        <v>1.4743828727772943</v>
      </c>
    </row>
    <row r="97" spans="7:32" x14ac:dyDescent="0.25">
      <c r="G97" s="147">
        <f t="shared" si="59"/>
        <v>6.0402329371102406</v>
      </c>
      <c r="H97" s="147">
        <f t="shared" si="64"/>
        <v>5.3407075111026447</v>
      </c>
      <c r="I97" s="147">
        <f t="shared" si="60"/>
        <v>6.7149999999999945</v>
      </c>
      <c r="J97" s="35"/>
      <c r="K97" s="156">
        <f t="shared" si="42"/>
        <v>2.2440016008932431</v>
      </c>
      <c r="L97" s="8">
        <f t="shared" si="43"/>
        <v>1.8570448054441464</v>
      </c>
      <c r="M97" s="8">
        <f t="shared" si="44"/>
        <v>-0.21242101034863653</v>
      </c>
      <c r="N97" s="8">
        <f t="shared" si="45"/>
        <v>-7.7740890071808788E-2</v>
      </c>
      <c r="O97" s="8">
        <f t="shared" si="46"/>
        <v>5.479485401879613E-3</v>
      </c>
      <c r="P97" s="8">
        <f t="shared" si="47"/>
        <v>2.9790001815783397E-17</v>
      </c>
      <c r="Q97" s="157">
        <f t="shared" si="61"/>
        <v>1.5723623904255806</v>
      </c>
      <c r="R97" s="33"/>
      <c r="S97" s="136">
        <f t="shared" si="48"/>
        <v>3.2328188876085857</v>
      </c>
      <c r="T97" s="137">
        <f t="shared" si="49"/>
        <v>2.6924515180258677</v>
      </c>
      <c r="U97" s="137">
        <f t="shared" si="50"/>
        <v>-0.52423353592927879</v>
      </c>
      <c r="V97" s="137">
        <f t="shared" si="51"/>
        <v>-0.74006024480272858</v>
      </c>
      <c r="W97" s="137">
        <f t="shared" si="52"/>
        <v>-0.23093504949841553</v>
      </c>
      <c r="X97" s="137">
        <f t="shared" si="53"/>
        <v>2.905719349297625E-15</v>
      </c>
      <c r="Y97" s="138">
        <f t="shared" si="62"/>
        <v>1.1972226877954477</v>
      </c>
      <c r="AA97" s="141">
        <f t="shared" si="54"/>
        <v>2.3940685041925374</v>
      </c>
      <c r="AB97" s="142">
        <f t="shared" si="55"/>
        <v>-0.37642181740249686</v>
      </c>
      <c r="AC97" s="142">
        <f t="shared" si="56"/>
        <v>-0.18461498124868594</v>
      </c>
      <c r="AD97" s="142">
        <f t="shared" si="57"/>
        <v>1.737093751117693E-2</v>
      </c>
      <c r="AE97" s="142">
        <f t="shared" si="58"/>
        <v>1.2602224381883239E-16</v>
      </c>
      <c r="AF97" s="143">
        <f t="shared" si="63"/>
        <v>1.8504026430525318</v>
      </c>
    </row>
    <row r="98" spans="7:32" x14ac:dyDescent="0.25">
      <c r="G98" s="147">
        <f t="shared" si="59"/>
        <v>6.1112945010762436</v>
      </c>
      <c r="H98" s="147">
        <f t="shared" si="64"/>
        <v>5.4035393641744403</v>
      </c>
      <c r="I98" s="147">
        <f t="shared" si="60"/>
        <v>6.7939999999999943</v>
      </c>
      <c r="J98" s="35"/>
      <c r="K98" s="156">
        <f t="shared" si="42"/>
        <v>2.4335085779458825</v>
      </c>
      <c r="L98" s="8">
        <f t="shared" si="43"/>
        <v>2.0655881584174494</v>
      </c>
      <c r="M98" s="8">
        <f t="shared" si="44"/>
        <v>-0.13662194337692754</v>
      </c>
      <c r="N98" s="8">
        <f t="shared" si="45"/>
        <v>-7.8331504142474959E-2</v>
      </c>
      <c r="O98" s="8">
        <f t="shared" si="46"/>
        <v>7.095691110929646E-3</v>
      </c>
      <c r="P98" s="8">
        <f t="shared" si="47"/>
        <v>-5.1925152256186258E-4</v>
      </c>
      <c r="Q98" s="157">
        <f t="shared" si="61"/>
        <v>1.8572111504864146</v>
      </c>
      <c r="R98" s="33"/>
      <c r="S98" s="136">
        <f t="shared" si="48"/>
        <v>3.5058319436177761</v>
      </c>
      <c r="T98" s="137">
        <f t="shared" si="49"/>
        <v>2.9198302987891114</v>
      </c>
      <c r="U98" s="137">
        <f t="shared" si="50"/>
        <v>-0.31788403518404279</v>
      </c>
      <c r="V98" s="137">
        <f t="shared" si="51"/>
        <v>-0.68189400424050883</v>
      </c>
      <c r="W98" s="137">
        <f t="shared" si="52"/>
        <v>-0.26540601777711709</v>
      </c>
      <c r="X98" s="137">
        <f t="shared" si="53"/>
        <v>-4.3627788228260272E-2</v>
      </c>
      <c r="Y98" s="138">
        <f t="shared" si="62"/>
        <v>1.6110184533591825</v>
      </c>
      <c r="AA98" s="141">
        <f t="shared" si="54"/>
        <v>2.6679309950208312</v>
      </c>
      <c r="AB98" s="142">
        <f t="shared" si="55"/>
        <v>-0.24223125718783978</v>
      </c>
      <c r="AC98" s="142">
        <f t="shared" si="56"/>
        <v>-0.18603225298730572</v>
      </c>
      <c r="AD98" s="142">
        <f t="shared" si="57"/>
        <v>2.249480663391943E-2</v>
      </c>
      <c r="AE98" s="142">
        <f t="shared" si="58"/>
        <v>-2.1966197894664787E-3</v>
      </c>
      <c r="AF98" s="143">
        <f t="shared" si="63"/>
        <v>2.2599656716901384</v>
      </c>
    </row>
    <row r="99" spans="7:32" x14ac:dyDescent="0.25">
      <c r="G99" s="147">
        <f t="shared" si="59"/>
        <v>6.1823560650422467</v>
      </c>
      <c r="H99" s="147">
        <f t="shared" si="64"/>
        <v>5.4663712172462358</v>
      </c>
      <c r="I99" s="147">
        <f t="shared" si="60"/>
        <v>6.872999999999994</v>
      </c>
      <c r="J99" s="35"/>
      <c r="K99" s="156">
        <f t="shared" si="42"/>
        <v>2.6134116084056864</v>
      </c>
      <c r="L99" s="8">
        <f t="shared" si="43"/>
        <v>2.2812720991662174</v>
      </c>
      <c r="M99" s="8">
        <f t="shared" si="44"/>
        <v>-4.8831087242222335E-2</v>
      </c>
      <c r="N99" s="8">
        <f t="shared" si="45"/>
        <v>-7.5949972164556567E-2</v>
      </c>
      <c r="O99" s="8">
        <f t="shared" si="46"/>
        <v>8.6267563465327914E-3</v>
      </c>
      <c r="P99" s="8">
        <f t="shared" si="47"/>
        <v>-1.1626672379393254E-3</v>
      </c>
      <c r="Q99" s="157">
        <f t="shared" si="61"/>
        <v>2.1639551288680323</v>
      </c>
      <c r="R99" s="33"/>
      <c r="S99" s="136">
        <f t="shared" si="48"/>
        <v>3.7650090826077696</v>
      </c>
      <c r="T99" s="137">
        <f t="shared" si="49"/>
        <v>3.1356858433066113</v>
      </c>
      <c r="U99" s="137">
        <f t="shared" si="50"/>
        <v>-0.10652131330923637</v>
      </c>
      <c r="V99" s="137">
        <f t="shared" si="51"/>
        <v>-0.59957132862484153</v>
      </c>
      <c r="W99" s="137">
        <f t="shared" si="52"/>
        <v>-0.28320054986382809</v>
      </c>
      <c r="X99" s="137">
        <f t="shared" si="53"/>
        <v>-8.2984984572065892E-2</v>
      </c>
      <c r="Y99" s="138">
        <f t="shared" si="62"/>
        <v>2.0634076669366395</v>
      </c>
      <c r="AA99" s="141">
        <f t="shared" si="54"/>
        <v>2.9522477622783247</v>
      </c>
      <c r="AB99" s="142">
        <f t="shared" si="55"/>
        <v>-8.6622480492688558E-2</v>
      </c>
      <c r="AC99" s="142">
        <f t="shared" si="56"/>
        <v>-0.18038920501957276</v>
      </c>
      <c r="AD99" s="142">
        <f t="shared" si="57"/>
        <v>2.7348818554607638E-2</v>
      </c>
      <c r="AE99" s="142">
        <f t="shared" si="58"/>
        <v>-4.9185024986688067E-3</v>
      </c>
      <c r="AF99" s="143">
        <f t="shared" si="63"/>
        <v>2.7076663928220022</v>
      </c>
    </row>
    <row r="100" spans="7:32" x14ac:dyDescent="0.25">
      <c r="G100" s="147">
        <f t="shared" si="59"/>
        <v>6.2534176290082497</v>
      </c>
      <c r="H100" s="147">
        <f t="shared" si="64"/>
        <v>5.5292030703180313</v>
      </c>
      <c r="I100" s="147">
        <f t="shared" si="60"/>
        <v>6.9519999999999937</v>
      </c>
      <c r="J100" s="35"/>
      <c r="K100" s="156">
        <f t="shared" si="42"/>
        <v>2.7830006972013064</v>
      </c>
      <c r="L100" s="8">
        <f t="shared" si="43"/>
        <v>2.5046899058017211</v>
      </c>
      <c r="M100" s="8">
        <f t="shared" si="44"/>
        <v>5.2360862741723392E-2</v>
      </c>
      <c r="N100" s="8">
        <f t="shared" si="45"/>
        <v>-6.9835052368289643E-2</v>
      </c>
      <c r="O100" s="8">
        <f t="shared" si="46"/>
        <v>9.9331178725226305E-3</v>
      </c>
      <c r="P100" s="8">
        <f t="shared" si="47"/>
        <v>-1.9087350860390159E-3</v>
      </c>
      <c r="Q100" s="157">
        <f t="shared" si="61"/>
        <v>2.4952400989616388</v>
      </c>
      <c r="R100" s="33"/>
      <c r="S100" s="136">
        <f t="shared" si="48"/>
        <v>4.0093274508177448</v>
      </c>
      <c r="T100" s="137">
        <f t="shared" si="49"/>
        <v>3.339166268359175</v>
      </c>
      <c r="U100" s="137">
        <f t="shared" si="50"/>
        <v>0.10652131330920485</v>
      </c>
      <c r="V100" s="137">
        <f t="shared" si="51"/>
        <v>-0.49600853978078041</v>
      </c>
      <c r="W100" s="137">
        <f t="shared" si="52"/>
        <v>-0.28320054986382942</v>
      </c>
      <c r="X100" s="137">
        <f t="shared" si="53"/>
        <v>-0.11421903243557269</v>
      </c>
      <c r="Y100" s="138">
        <f t="shared" si="62"/>
        <v>2.5522594595881971</v>
      </c>
      <c r="AA100" s="141">
        <f t="shared" si="54"/>
        <v>3.2477982654094282</v>
      </c>
      <c r="AB100" s="142">
        <f t="shared" si="55"/>
        <v>9.2929380573345322E-2</v>
      </c>
      <c r="AC100" s="142">
        <f t="shared" si="56"/>
        <v>-0.16587611467187316</v>
      </c>
      <c r="AD100" s="142">
        <f t="shared" si="57"/>
        <v>3.1490495244653152E-2</v>
      </c>
      <c r="AE100" s="142">
        <f t="shared" si="58"/>
        <v>-8.0746440435216452E-3</v>
      </c>
      <c r="AF100" s="143">
        <f t="shared" si="63"/>
        <v>3.1982673825120314</v>
      </c>
    </row>
    <row r="101" spans="7:32" x14ac:dyDescent="0.25">
      <c r="G101" s="147">
        <f t="shared" si="59"/>
        <v>6.3244791929742528</v>
      </c>
      <c r="H101" s="147">
        <f t="shared" si="64"/>
        <v>5.5920349233898268</v>
      </c>
      <c r="I101" s="147">
        <f t="shared" si="60"/>
        <v>7.0309999999999935</v>
      </c>
      <c r="J101" s="35"/>
      <c r="K101" s="156">
        <f t="shared" si="42"/>
        <v>2.941606553677151</v>
      </c>
      <c r="L101" s="8">
        <f t="shared" si="43"/>
        <v>2.7358972464913229</v>
      </c>
      <c r="M101" s="8">
        <f t="shared" si="44"/>
        <v>0.16832890801420006</v>
      </c>
      <c r="N101" s="8">
        <f t="shared" si="45"/>
        <v>-5.9067661542716601E-2</v>
      </c>
      <c r="O101" s="8">
        <f t="shared" si="46"/>
        <v>1.0817097630345886E-2</v>
      </c>
      <c r="P101" s="8">
        <f t="shared" si="47"/>
        <v>-2.7071224528574722E-3</v>
      </c>
      <c r="Q101" s="157">
        <f t="shared" si="61"/>
        <v>2.8532684681402944</v>
      </c>
      <c r="R101" s="33"/>
      <c r="S101" s="136">
        <f t="shared" si="48"/>
        <v>4.2378228352668224</v>
      </c>
      <c r="T101" s="137">
        <f t="shared" si="49"/>
        <v>3.5294685296704831</v>
      </c>
      <c r="U101" s="137">
        <f t="shared" si="50"/>
        <v>0.31788403518401176</v>
      </c>
      <c r="V101" s="137">
        <f t="shared" si="51"/>
        <v>-0.37487440113358272</v>
      </c>
      <c r="W101" s="137">
        <f t="shared" si="52"/>
        <v>-0.26540601777712097</v>
      </c>
      <c r="X101" s="137">
        <f t="shared" si="53"/>
        <v>-0.13427252559349151</v>
      </c>
      <c r="Y101" s="138">
        <f t="shared" si="62"/>
        <v>3.0727996203502994</v>
      </c>
      <c r="AA101" s="141">
        <f t="shared" si="54"/>
        <v>3.5546105493212843</v>
      </c>
      <c r="AB101" s="142">
        <f t="shared" si="55"/>
        <v>0.2988823956665404</v>
      </c>
      <c r="AC101" s="142">
        <f t="shared" si="56"/>
        <v>-0.14030840422102886</v>
      </c>
      <c r="AD101" s="142">
        <f t="shared" si="57"/>
        <v>3.4293114634174053E-2</v>
      </c>
      <c r="AE101" s="142">
        <f t="shared" si="58"/>
        <v>-1.1452118392104665E-2</v>
      </c>
      <c r="AF101" s="143">
        <f t="shared" si="63"/>
        <v>3.7360255370088651</v>
      </c>
    </row>
    <row r="102" spans="7:32" x14ac:dyDescent="0.25">
      <c r="G102" s="147">
        <f t="shared" si="59"/>
        <v>6.3955407569402558</v>
      </c>
      <c r="H102" s="147">
        <f t="shared" si="64"/>
        <v>5.6548667764616223</v>
      </c>
      <c r="I102" s="147">
        <f t="shared" si="60"/>
        <v>7.1099999999999932</v>
      </c>
      <c r="J102" s="35"/>
      <c r="K102" s="156">
        <f t="shared" si="42"/>
        <v>3.088603232977833</v>
      </c>
      <c r="L102" s="8">
        <f t="shared" si="43"/>
        <v>2.9741450186571421</v>
      </c>
      <c r="M102" s="8">
        <f t="shared" si="44"/>
        <v>0.30010748331426945</v>
      </c>
      <c r="N102" s="8">
        <f t="shared" si="45"/>
        <v>-4.2624705168139855E-2</v>
      </c>
      <c r="O102" s="8">
        <f t="shared" si="46"/>
        <v>1.1013497862942877E-2</v>
      </c>
      <c r="P102" s="8">
        <f t="shared" si="47"/>
        <v>-3.4641617140722734E-3</v>
      </c>
      <c r="Q102" s="157">
        <f t="shared" si="61"/>
        <v>3.2391771329521424</v>
      </c>
      <c r="R102" s="33"/>
      <c r="S102" s="136">
        <f t="shared" si="48"/>
        <v>4.4495934690621928</v>
      </c>
      <c r="T102" s="137">
        <f t="shared" si="49"/>
        <v>3.7058415911559739</v>
      </c>
      <c r="U102" s="137">
        <f t="shared" si="50"/>
        <v>0.52423353592924871</v>
      </c>
      <c r="V102" s="137">
        <f t="shared" si="51"/>
        <v>-0.24046014993536571</v>
      </c>
      <c r="W102" s="137">
        <f t="shared" si="52"/>
        <v>-0.23093504949842172</v>
      </c>
      <c r="X102" s="137">
        <f t="shared" si="53"/>
        <v>-0.14118248841462352</v>
      </c>
      <c r="Y102" s="138">
        <f t="shared" si="62"/>
        <v>3.6174974392368116</v>
      </c>
      <c r="AA102" s="141">
        <f t="shared" si="54"/>
        <v>3.8716053471952638</v>
      </c>
      <c r="AB102" s="142">
        <f t="shared" si="55"/>
        <v>0.53308191055150567</v>
      </c>
      <c r="AC102" s="142">
        <f t="shared" si="56"/>
        <v>-0.10125461895731622</v>
      </c>
      <c r="AD102" s="142">
        <f t="shared" si="57"/>
        <v>3.491589742488882E-2</v>
      </c>
      <c r="AE102" s="142">
        <f t="shared" si="58"/>
        <v>-1.4654676212628675E-2</v>
      </c>
      <c r="AF102" s="143">
        <f t="shared" si="63"/>
        <v>4.3236938600017139</v>
      </c>
    </row>
    <row r="103" spans="7:32" x14ac:dyDescent="0.25">
      <c r="G103" s="147">
        <f t="shared" si="59"/>
        <v>6.4666023209062589</v>
      </c>
      <c r="H103" s="147">
        <f t="shared" si="64"/>
        <v>5.7176986295334178</v>
      </c>
      <c r="I103" s="147">
        <f t="shared" si="60"/>
        <v>7.188999999999993</v>
      </c>
      <c r="J103" s="35"/>
      <c r="K103" s="156">
        <f t="shared" si="42"/>
        <v>3.2234106063665484</v>
      </c>
      <c r="L103" s="8">
        <f t="shared" si="43"/>
        <v>3.2176108673066404</v>
      </c>
      <c r="M103" s="8">
        <f t="shared" si="44"/>
        <v>0.44796824187845879</v>
      </c>
      <c r="N103" s="8">
        <f t="shared" si="45"/>
        <v>-1.950811839886709E-2</v>
      </c>
      <c r="O103" s="8">
        <f t="shared" si="46"/>
        <v>1.0194837862915997E-2</v>
      </c>
      <c r="P103" s="8">
        <f t="shared" si="47"/>
        <v>-4.0298284860733596E-3</v>
      </c>
      <c r="Q103" s="157">
        <f t="shared" si="61"/>
        <v>3.6522360001630751</v>
      </c>
      <c r="R103" s="33"/>
      <c r="S103" s="136">
        <f t="shared" si="48"/>
        <v>4.6438035902610659</v>
      </c>
      <c r="T103" s="137">
        <f t="shared" si="49"/>
        <v>3.8675893889191513</v>
      </c>
      <c r="U103" s="137">
        <f t="shared" si="50"/>
        <v>0.72231556065094682</v>
      </c>
      <c r="V103" s="137">
        <f t="shared" si="51"/>
        <v>-9.7527478046049582E-2</v>
      </c>
      <c r="W103" s="137">
        <f t="shared" si="52"/>
        <v>-0.1819535827400357</v>
      </c>
      <c r="X103" s="137">
        <f t="shared" si="53"/>
        <v>-0.13427252559349409</v>
      </c>
      <c r="Y103" s="138">
        <f t="shared" si="62"/>
        <v>4.1761513631905185</v>
      </c>
      <c r="AA103" s="141">
        <f t="shared" si="54"/>
        <v>4.19624204216524</v>
      </c>
      <c r="AB103" s="142">
        <f t="shared" si="55"/>
        <v>0.79600899460984753</v>
      </c>
      <c r="AC103" s="142">
        <f t="shared" si="56"/>
        <v>-4.6343052119620962E-2</v>
      </c>
      <c r="AD103" s="142">
        <f t="shared" si="57"/>
        <v>3.2320611591028614E-2</v>
      </c>
      <c r="AE103" s="142">
        <f t="shared" si="58"/>
        <v>-1.7047658222014754E-2</v>
      </c>
      <c r="AF103" s="143">
        <f t="shared" si="63"/>
        <v>4.9611809380244809</v>
      </c>
    </row>
    <row r="104" spans="7:32" x14ac:dyDescent="0.25">
      <c r="G104" s="147">
        <f t="shared" si="59"/>
        <v>6.5376638848722619</v>
      </c>
      <c r="H104" s="147">
        <f t="shared" si="64"/>
        <v>5.7805304826052133</v>
      </c>
      <c r="I104" s="147">
        <f t="shared" si="60"/>
        <v>7.2679999999999927</v>
      </c>
      <c r="J104" s="35"/>
      <c r="K104" s="156">
        <f t="shared" si="42"/>
        <v>3.3454966507281614</v>
      </c>
      <c r="L104" s="8">
        <f t="shared" si="43"/>
        <v>3.46316775924145</v>
      </c>
      <c r="M104" s="8">
        <f t="shared" si="44"/>
        <v>0.61090611061608768</v>
      </c>
      <c r="N104" s="8">
        <f t="shared" si="45"/>
        <v>1.1031809007836329E-2</v>
      </c>
      <c r="O104" s="8">
        <f t="shared" si="46"/>
        <v>8.0037509582699517E-3</v>
      </c>
      <c r="P104" s="8">
        <f t="shared" si="47"/>
        <v>-4.1950343707619396E-3</v>
      </c>
      <c r="Q104" s="157">
        <f t="shared" si="61"/>
        <v>4.0889143954528828</v>
      </c>
      <c r="R104" s="33"/>
      <c r="S104" s="136">
        <f t="shared" si="48"/>
        <v>4.8196867402412336</v>
      </c>
      <c r="T104" s="137">
        <f t="shared" si="49"/>
        <v>4.0140735782977828</v>
      </c>
      <c r="U104" s="137">
        <f t="shared" si="50"/>
        <v>0.90900623749077869</v>
      </c>
      <c r="V104" s="137">
        <f t="shared" si="51"/>
        <v>4.8860153374647171E-2</v>
      </c>
      <c r="W104" s="137">
        <f t="shared" si="52"/>
        <v>-0.12153930319962573</v>
      </c>
      <c r="X104" s="137">
        <f t="shared" si="53"/>
        <v>-0.11421903243557702</v>
      </c>
      <c r="Y104" s="138">
        <f t="shared" si="62"/>
        <v>4.7361816335280063</v>
      </c>
      <c r="AA104" s="141">
        <f t="shared" si="54"/>
        <v>4.524217076355888</v>
      </c>
      <c r="AB104" s="142">
        <f t="shared" si="55"/>
        <v>1.0858663140302713</v>
      </c>
      <c r="AC104" s="142">
        <f t="shared" si="56"/>
        <v>2.6207670192252085E-2</v>
      </c>
      <c r="AD104" s="142">
        <f t="shared" si="57"/>
        <v>2.5374282151842304E-2</v>
      </c>
      <c r="AE104" s="142">
        <f t="shared" si="58"/>
        <v>-1.7746542611714402E-2</v>
      </c>
      <c r="AF104" s="143">
        <f t="shared" si="63"/>
        <v>5.6439188001185396</v>
      </c>
    </row>
    <row r="105" spans="7:32" x14ac:dyDescent="0.25">
      <c r="G105" s="147">
        <f t="shared" si="59"/>
        <v>6.608725448838265</v>
      </c>
      <c r="H105" s="147">
        <f t="shared" si="64"/>
        <v>5.8433623356770088</v>
      </c>
      <c r="I105" s="147">
        <f t="shared" si="60"/>
        <v>7.3469999999999924</v>
      </c>
      <c r="J105" s="35"/>
      <c r="K105" s="156">
        <f t="shared" si="42"/>
        <v>3.4543795482213855</v>
      </c>
      <c r="L105" s="8">
        <f t="shared" si="43"/>
        <v>3.7062398329131168</v>
      </c>
      <c r="M105" s="8">
        <f t="shared" si="44"/>
        <v>0.78610013327112349</v>
      </c>
      <c r="N105" s="8">
        <f t="shared" si="45"/>
        <v>4.9179920669909227E-2</v>
      </c>
      <c r="O105" s="8">
        <f t="shared" si="46"/>
        <v>4.1243239103474078E-3</v>
      </c>
      <c r="P105" s="8">
        <f t="shared" si="47"/>
        <v>-3.712310308114081E-3</v>
      </c>
      <c r="Q105" s="157">
        <f t="shared" si="61"/>
        <v>4.5419319004563823</v>
      </c>
      <c r="R105" s="33"/>
      <c r="S105" s="136">
        <f t="shared" si="48"/>
        <v>4.9765487885630915</v>
      </c>
      <c r="T105" s="137">
        <f t="shared" si="49"/>
        <v>4.1447160531186524</v>
      </c>
      <c r="U105" s="137">
        <f t="shared" si="50"/>
        <v>1.081361342951376</v>
      </c>
      <c r="V105" s="137">
        <f t="shared" si="51"/>
        <v>0.19351688950318344</v>
      </c>
      <c r="W105" s="137">
        <f t="shared" si="52"/>
        <v>-5.3488262248893727E-2</v>
      </c>
      <c r="X105" s="137">
        <f t="shared" si="53"/>
        <v>-8.2984984572072637E-2</v>
      </c>
      <c r="Y105" s="138">
        <f t="shared" si="62"/>
        <v>5.2831210387522463</v>
      </c>
      <c r="AA105" s="141">
        <f t="shared" si="54"/>
        <v>4.8492807016080812</v>
      </c>
      <c r="AB105" s="142">
        <f t="shared" si="55"/>
        <v>1.3976196287972555</v>
      </c>
      <c r="AC105" s="142">
        <f t="shared" si="56"/>
        <v>0.1168366397457857</v>
      </c>
      <c r="AD105" s="142">
        <f t="shared" si="57"/>
        <v>1.307535950576655E-2</v>
      </c>
      <c r="AE105" s="142">
        <f t="shared" si="58"/>
        <v>-1.5704443335384007E-2</v>
      </c>
      <c r="AF105" s="143">
        <f t="shared" si="63"/>
        <v>6.3611078863215047</v>
      </c>
    </row>
    <row r="106" spans="7:32" x14ac:dyDescent="0.25">
      <c r="G106" s="147">
        <f t="shared" si="59"/>
        <v>6.679787012804268</v>
      </c>
      <c r="H106" s="147">
        <f t="shared" si="64"/>
        <v>5.9061941887488043</v>
      </c>
      <c r="I106" s="147">
        <f t="shared" si="60"/>
        <v>7.4259999999999922</v>
      </c>
      <c r="J106" s="35"/>
      <c r="K106" s="156">
        <f t="shared" si="42"/>
        <v>3.549629587793679</v>
      </c>
      <c r="L106" s="8">
        <f t="shared" si="43"/>
        <v>3.9408017587563493</v>
      </c>
      <c r="M106" s="8">
        <f t="shared" si="44"/>
        <v>0.96846687967146527</v>
      </c>
      <c r="N106" s="8">
        <f t="shared" si="45"/>
        <v>9.4186757676848865E-2</v>
      </c>
      <c r="O106" s="8">
        <f t="shared" si="46"/>
        <v>-1.6048428150090906E-3</v>
      </c>
      <c r="P106" s="8">
        <f t="shared" si="47"/>
        <v>-2.3526022049980325E-3</v>
      </c>
      <c r="Q106" s="157">
        <f t="shared" si="61"/>
        <v>4.9994979510846562</v>
      </c>
      <c r="R106" s="33"/>
      <c r="S106" s="136">
        <f t="shared" si="48"/>
        <v>5.1137706723853684</v>
      </c>
      <c r="T106" s="137">
        <f t="shared" si="49"/>
        <v>4.2590012272185103</v>
      </c>
      <c r="U106" s="137">
        <f t="shared" si="50"/>
        <v>1.2366627340596752</v>
      </c>
      <c r="V106" s="137">
        <f t="shared" si="51"/>
        <v>0.33131819334464668</v>
      </c>
      <c r="W106" s="137">
        <f t="shared" si="52"/>
        <v>1.7923642935004289E-2</v>
      </c>
      <c r="X106" s="137">
        <f t="shared" si="53"/>
        <v>-4.3627788228267239E-2</v>
      </c>
      <c r="Y106" s="138">
        <f t="shared" si="62"/>
        <v>5.8012780093295691</v>
      </c>
      <c r="AA106" s="141">
        <f t="shared" si="54"/>
        <v>5.1632457831190601</v>
      </c>
      <c r="AB106" s="142">
        <f t="shared" si="55"/>
        <v>1.7222043036410923</v>
      </c>
      <c r="AC106" s="142">
        <f t="shared" si="56"/>
        <v>0.22376299574775937</v>
      </c>
      <c r="AD106" s="142">
        <f t="shared" si="57"/>
        <v>-5.0878446790973021E-3</v>
      </c>
      <c r="AE106" s="142">
        <f t="shared" si="58"/>
        <v>-9.9523766337662779E-3</v>
      </c>
      <c r="AF106" s="143">
        <f t="shared" si="63"/>
        <v>7.094172861195049</v>
      </c>
    </row>
    <row r="107" spans="7:32" x14ac:dyDescent="0.25">
      <c r="G107" s="147">
        <f t="shared" si="59"/>
        <v>6.7508485767702711</v>
      </c>
      <c r="H107" s="147">
        <f t="shared" si="64"/>
        <v>5.9690260418205998</v>
      </c>
      <c r="I107" s="147">
        <f t="shared" si="60"/>
        <v>7.5049999999999919</v>
      </c>
      <c r="J107" s="35"/>
      <c r="K107" s="156">
        <f t="shared" si="42"/>
        <v>3.6308708610544538</v>
      </c>
      <c r="L107" s="8">
        <f t="shared" si="43"/>
        <v>4.1595724616700203</v>
      </c>
      <c r="M107" s="8">
        <f t="shared" si="44"/>
        <v>1.1504675828611668</v>
      </c>
      <c r="N107" s="8">
        <f t="shared" si="45"/>
        <v>0.1440399221294269</v>
      </c>
      <c r="O107" s="8">
        <f t="shared" si="46"/>
        <v>-9.0533126765970501E-3</v>
      </c>
      <c r="P107" s="8">
        <f t="shared" si="47"/>
        <v>-3.4735026712777471E-16</v>
      </c>
      <c r="Q107" s="157">
        <f t="shared" si="61"/>
        <v>5.4450266539840166</v>
      </c>
      <c r="R107" s="33"/>
      <c r="S107" s="136">
        <f t="shared" si="48"/>
        <v>5.2308108396233326</v>
      </c>
      <c r="T107" s="137">
        <f t="shared" si="49"/>
        <v>4.3564780692271157</v>
      </c>
      <c r="U107" s="137">
        <f t="shared" si="50"/>
        <v>1.3724612151053446</v>
      </c>
      <c r="V107" s="137">
        <f t="shared" si="51"/>
        <v>0.45738238501063971</v>
      </c>
      <c r="W107" s="137">
        <f t="shared" si="52"/>
        <v>8.8209339714748369E-2</v>
      </c>
      <c r="X107" s="137">
        <f t="shared" si="53"/>
        <v>-5.4309210890403887E-15</v>
      </c>
      <c r="Y107" s="138">
        <f t="shared" si="62"/>
        <v>6.274531009057843</v>
      </c>
      <c r="AA107" s="141">
        <f t="shared" si="54"/>
        <v>5.4562552872988856</v>
      </c>
      <c r="AB107" s="142">
        <f t="shared" si="55"/>
        <v>2.0461834894974968</v>
      </c>
      <c r="AC107" s="142">
        <f t="shared" si="56"/>
        <v>0.3422051915812363</v>
      </c>
      <c r="AD107" s="142">
        <f t="shared" si="57"/>
        <v>-2.8701803365185807E-2</v>
      </c>
      <c r="AE107" s="142">
        <f t="shared" si="58"/>
        <v>-1.4694200384592011E-15</v>
      </c>
      <c r="AF107" s="143">
        <f t="shared" si="63"/>
        <v>7.815942165012431</v>
      </c>
    </row>
    <row r="108" spans="7:32" x14ac:dyDescent="0.25">
      <c r="G108" s="147">
        <f t="shared" si="59"/>
        <v>6.8219101407362741</v>
      </c>
      <c r="H108" s="147">
        <f t="shared" si="64"/>
        <v>6.0318578948923953</v>
      </c>
      <c r="I108" s="147">
        <f t="shared" si="60"/>
        <v>7.5839999999999916</v>
      </c>
      <c r="J108" s="35"/>
      <c r="K108" s="156">
        <f t="shared" si="42"/>
        <v>3.6977827458137571</v>
      </c>
      <c r="L108" s="8">
        <f t="shared" si="43"/>
        <v>4.3544327318393794</v>
      </c>
      <c r="M108" s="8">
        <f t="shared" si="44"/>
        <v>1.3223388964237277</v>
      </c>
      <c r="N108" s="8">
        <f t="shared" si="45"/>
        <v>0.19531766622428864</v>
      </c>
      <c r="O108" s="8">
        <f t="shared" si="46"/>
        <v>-1.768262936185723E-2</v>
      </c>
      <c r="P108" s="8">
        <f t="shared" si="47"/>
        <v>3.2380176135113725E-3</v>
      </c>
      <c r="Q108" s="157">
        <f t="shared" si="61"/>
        <v>5.8576446827390489</v>
      </c>
      <c r="R108" s="33"/>
      <c r="S108" s="136">
        <f t="shared" si="48"/>
        <v>5.3272073862074603</v>
      </c>
      <c r="T108" s="137">
        <f t="shared" si="49"/>
        <v>4.4367618825819921</v>
      </c>
      <c r="U108" s="137">
        <f t="shared" si="50"/>
        <v>1.4866151629202138</v>
      </c>
      <c r="V108" s="137">
        <f t="shared" si="51"/>
        <v>0.56724357766301303</v>
      </c>
      <c r="W108" s="137">
        <f t="shared" si="52"/>
        <v>0.15295251926895634</v>
      </c>
      <c r="X108" s="137">
        <f t="shared" si="53"/>
        <v>4.3627788228257872E-2</v>
      </c>
      <c r="Y108" s="138">
        <f t="shared" si="62"/>
        <v>6.6872009306624332</v>
      </c>
      <c r="AA108" s="141">
        <f t="shared" si="54"/>
        <v>5.7173469753063424</v>
      </c>
      <c r="AB108" s="142">
        <f t="shared" si="55"/>
        <v>2.3521602697471895</v>
      </c>
      <c r="AC108" s="142">
        <f t="shared" si="56"/>
        <v>0.46403319877097476</v>
      </c>
      <c r="AD108" s="142">
        <f t="shared" si="57"/>
        <v>-5.6059436274006558E-2</v>
      </c>
      <c r="AE108" s="142">
        <f t="shared" si="58"/>
        <v>1.3698011887762443E-2</v>
      </c>
      <c r="AF108" s="143">
        <f t="shared" si="63"/>
        <v>8.4911790194382633</v>
      </c>
    </row>
    <row r="109" spans="7:32" x14ac:dyDescent="0.25">
      <c r="G109" s="147">
        <f t="shared" si="59"/>
        <v>6.8929717047022772</v>
      </c>
      <c r="H109" s="147">
        <f t="shared" si="64"/>
        <v>6.0946897479641908</v>
      </c>
      <c r="I109" s="147">
        <f t="shared" si="60"/>
        <v>7.6629999999999914</v>
      </c>
      <c r="J109" s="35"/>
      <c r="K109" s="156">
        <f t="shared" si="42"/>
        <v>3.750101171431576</v>
      </c>
      <c r="L109" s="8">
        <f t="shared" si="43"/>
        <v>4.517058148340606</v>
      </c>
      <c r="M109" s="8">
        <f t="shared" si="44"/>
        <v>1.4728636927338099</v>
      </c>
      <c r="N109" s="8">
        <f t="shared" si="45"/>
        <v>0.24337361873340183</v>
      </c>
      <c r="O109" s="8">
        <f t="shared" si="46"/>
        <v>-2.6518050908137622E-2</v>
      </c>
      <c r="P109" s="8">
        <f t="shared" si="47"/>
        <v>6.9567060243640733E-3</v>
      </c>
      <c r="Q109" s="157">
        <f t="shared" si="61"/>
        <v>6.2137341149240441</v>
      </c>
      <c r="R109" s="33"/>
      <c r="S109" s="136">
        <f t="shared" si="48"/>
        <v>5.4025798790077797</v>
      </c>
      <c r="T109" s="137">
        <f t="shared" si="49"/>
        <v>4.4995358237500138</v>
      </c>
      <c r="U109" s="137">
        <f t="shared" si="50"/>
        <v>1.5773243015549789</v>
      </c>
      <c r="V109" s="137">
        <f t="shared" si="51"/>
        <v>0.6570098837815771</v>
      </c>
      <c r="W109" s="137">
        <f t="shared" si="52"/>
        <v>0.20808512951747887</v>
      </c>
      <c r="X109" s="137">
        <f t="shared" si="53"/>
        <v>8.2984984572063852E-2</v>
      </c>
      <c r="Y109" s="138">
        <f t="shared" si="62"/>
        <v>7.0249401231761128</v>
      </c>
      <c r="AA109" s="141">
        <f t="shared" si="54"/>
        <v>5.9353034435395235</v>
      </c>
      <c r="AB109" s="142">
        <f t="shared" si="55"/>
        <v>2.6201509776241769</v>
      </c>
      <c r="AC109" s="142">
        <f t="shared" si="56"/>
        <v>0.57820744073036656</v>
      </c>
      <c r="AD109" s="142">
        <f t="shared" si="57"/>
        <v>-8.4070499067016441E-2</v>
      </c>
      <c r="AE109" s="142">
        <f t="shared" si="58"/>
        <v>2.942943946615843E-2</v>
      </c>
      <c r="AF109" s="143">
        <f t="shared" si="63"/>
        <v>9.0790208022932095</v>
      </c>
    </row>
    <row r="110" spans="7:32" x14ac:dyDescent="0.25">
      <c r="G110" s="147">
        <f t="shared" si="59"/>
        <v>6.9640332686682802</v>
      </c>
      <c r="H110" s="147">
        <f t="shared" si="64"/>
        <v>6.1575216010359863</v>
      </c>
      <c r="I110" s="147">
        <f t="shared" si="60"/>
        <v>7.7419999999999911</v>
      </c>
      <c r="J110" s="35"/>
      <c r="K110" s="156">
        <f t="shared" si="42"/>
        <v>3.7876196609840118</v>
      </c>
      <c r="L110" s="8">
        <f t="shared" si="43"/>
        <v>4.6397091759646045</v>
      </c>
      <c r="M110" s="8">
        <f t="shared" si="44"/>
        <v>1.5906717792061102</v>
      </c>
      <c r="N110" s="8">
        <f t="shared" si="45"/>
        <v>0.28293554103726987</v>
      </c>
      <c r="O110" s="8">
        <f t="shared" si="46"/>
        <v>-3.4267865700107092E-2</v>
      </c>
      <c r="P110" s="8">
        <f t="shared" si="47"/>
        <v>1.0480703755452112E-2</v>
      </c>
      <c r="Q110" s="157">
        <f t="shared" si="61"/>
        <v>6.48952933426333</v>
      </c>
      <c r="R110" s="33"/>
      <c r="S110" s="136">
        <f t="shared" si="48"/>
        <v>5.456630857229622</v>
      </c>
      <c r="T110" s="137">
        <f t="shared" si="49"/>
        <v>4.5445521526640773</v>
      </c>
      <c r="U110" s="137">
        <f t="shared" si="50"/>
        <v>1.6431580937063572</v>
      </c>
      <c r="V110" s="137">
        <f t="shared" si="51"/>
        <v>0.72350128721974549</v>
      </c>
      <c r="W110" s="137">
        <f t="shared" si="52"/>
        <v>0.25014298579484451</v>
      </c>
      <c r="X110" s="137">
        <f t="shared" si="53"/>
        <v>0.11421903243557119</v>
      </c>
      <c r="Y110" s="138">
        <f t="shared" si="62"/>
        <v>7.2755735518205951</v>
      </c>
      <c r="AA110" s="141">
        <f t="shared" si="54"/>
        <v>6.0997099578244995</v>
      </c>
      <c r="AB110" s="142">
        <f t="shared" si="55"/>
        <v>2.8299016814171387</v>
      </c>
      <c r="AC110" s="142">
        <f t="shared" si="56"/>
        <v>0.67220139934351641</v>
      </c>
      <c r="AD110" s="142">
        <f t="shared" si="57"/>
        <v>-0.10863985350735886</v>
      </c>
      <c r="AE110" s="142">
        <f t="shared" si="58"/>
        <v>4.4337253667843822E-2</v>
      </c>
      <c r="AF110" s="143">
        <f t="shared" si="63"/>
        <v>9.53751043874564</v>
      </c>
    </row>
    <row r="111" spans="7:32" x14ac:dyDescent="0.25">
      <c r="G111" s="147">
        <f t="shared" si="59"/>
        <v>7.0350948326342833</v>
      </c>
      <c r="H111" s="147">
        <f t="shared" si="64"/>
        <v>6.2203534541077818</v>
      </c>
      <c r="I111" s="147">
        <f t="shared" si="60"/>
        <v>7.8209999999999908</v>
      </c>
      <c r="J111" s="35"/>
      <c r="K111" s="156">
        <f t="shared" si="42"/>
        <v>3.8101901461333694</v>
      </c>
      <c r="L111" s="8">
        <f t="shared" si="43"/>
        <v>4.7160713167062784</v>
      </c>
      <c r="M111" s="8">
        <f t="shared" si="44"/>
        <v>1.6658845807916911</v>
      </c>
      <c r="N111" s="8">
        <f t="shared" si="45"/>
        <v>0.30905778074772505</v>
      </c>
      <c r="O111" s="8">
        <f t="shared" si="46"/>
        <v>-3.9599741026576596E-2</v>
      </c>
      <c r="P111" s="8">
        <f t="shared" si="47"/>
        <v>1.3025512316983913E-2</v>
      </c>
      <c r="Q111" s="157">
        <f t="shared" si="61"/>
        <v>6.6644394495361023</v>
      </c>
      <c r="R111" s="33"/>
      <c r="S111" s="136">
        <f t="shared" si="48"/>
        <v>5.4891470063554904</v>
      </c>
      <c r="T111" s="137">
        <f t="shared" si="49"/>
        <v>4.5716332104399626</v>
      </c>
      <c r="U111" s="137">
        <f t="shared" si="50"/>
        <v>1.68307830114492</v>
      </c>
      <c r="V111" s="137">
        <f t="shared" si="51"/>
        <v>0.76436229686192758</v>
      </c>
      <c r="W111" s="137">
        <f t="shared" si="52"/>
        <v>0.27648343831317079</v>
      </c>
      <c r="X111" s="137">
        <f t="shared" si="53"/>
        <v>0.13427252559349073</v>
      </c>
      <c r="Y111" s="138">
        <f t="shared" si="62"/>
        <v>7.4298297723534708</v>
      </c>
      <c r="AA111" s="141">
        <f t="shared" si="54"/>
        <v>6.2020774941426424</v>
      </c>
      <c r="AB111" s="142">
        <f t="shared" si="55"/>
        <v>2.9638168316966325</v>
      </c>
      <c r="AC111" s="142">
        <f t="shared" si="56"/>
        <v>0.73426455596585483</v>
      </c>
      <c r="AD111" s="142">
        <f t="shared" si="57"/>
        <v>-0.12554358032340907</v>
      </c>
      <c r="AE111" s="142">
        <f t="shared" si="58"/>
        <v>5.5102735481627016E-2</v>
      </c>
      <c r="AF111" s="143">
        <f t="shared" si="63"/>
        <v>9.8297180369633477</v>
      </c>
    </row>
    <row r="112" spans="7:32" ht="15.75" thickBot="1" x14ac:dyDescent="0.3">
      <c r="G112" s="147">
        <f t="shared" si="59"/>
        <v>7.1061563966002863</v>
      </c>
      <c r="H112" s="147">
        <f t="shared" si="64"/>
        <v>6.2831853071795774</v>
      </c>
      <c r="I112" s="147">
        <f t="shared" si="60"/>
        <v>7.8999999999999906</v>
      </c>
      <c r="J112" s="35"/>
      <c r="K112" s="158">
        <f t="shared" si="42"/>
        <v>3.8177235514862375</v>
      </c>
      <c r="L112" s="159">
        <f t="shared" si="43"/>
        <v>4.7420059425848002</v>
      </c>
      <c r="M112" s="159">
        <f t="shared" si="44"/>
        <v>1.6917551433872584</v>
      </c>
      <c r="N112" s="159">
        <f t="shared" si="45"/>
        <v>0.31819531291774128</v>
      </c>
      <c r="O112" s="159">
        <f t="shared" si="46"/>
        <v>-4.1502990962586965E-2</v>
      </c>
      <c r="P112" s="159">
        <f t="shared" si="47"/>
        <v>1.3955437786848521E-2</v>
      </c>
      <c r="Q112" s="160">
        <f t="shared" si="61"/>
        <v>6.7244088457140609</v>
      </c>
      <c r="R112" s="33"/>
      <c r="S112" s="148">
        <f t="shared" si="48"/>
        <v>5.5</v>
      </c>
      <c r="T112" s="139">
        <f t="shared" si="49"/>
        <v>4.5806721205147856</v>
      </c>
      <c r="U112" s="139">
        <f t="shared" si="50"/>
        <v>1.6964553583521853</v>
      </c>
      <c r="V112" s="139">
        <f t="shared" si="51"/>
        <v>0.77814539107059111</v>
      </c>
      <c r="W112" s="139">
        <f t="shared" si="52"/>
        <v>0.28545141956732339</v>
      </c>
      <c r="X112" s="139">
        <f t="shared" si="53"/>
        <v>0.14118248841462352</v>
      </c>
      <c r="Y112" s="140">
        <f t="shared" si="62"/>
        <v>7.4819067779195088</v>
      </c>
      <c r="AA112" s="144">
        <f t="shared" si="54"/>
        <v>6.2368455136127725</v>
      </c>
      <c r="AB112" s="145">
        <f t="shared" si="55"/>
        <v>3.0098794068717161</v>
      </c>
      <c r="AC112" s="145">
        <f t="shared" si="56"/>
        <v>0.75597420333077558</v>
      </c>
      <c r="AD112" s="145">
        <f t="shared" si="57"/>
        <v>-0.13157748337914829</v>
      </c>
      <c r="AE112" s="145">
        <f t="shared" si="58"/>
        <v>5.9036664310334774E-2</v>
      </c>
      <c r="AF112" s="146">
        <f t="shared" si="63"/>
        <v>9.9301583047464526</v>
      </c>
    </row>
    <row r="113" spans="18:18" x14ac:dyDescent="0.25">
      <c r="R113" s="33"/>
    </row>
    <row r="114" spans="18:18" x14ac:dyDescent="0.25">
      <c r="R114" s="33"/>
    </row>
  </sheetData>
  <mergeCells count="6">
    <mergeCell ref="N7:O7"/>
    <mergeCell ref="AA10:AF10"/>
    <mergeCell ref="S10:X10"/>
    <mergeCell ref="N8:O8"/>
    <mergeCell ref="N9:O9"/>
    <mergeCell ref="L10:Q10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1"/>
  <sheetViews>
    <sheetView zoomScale="148" zoomScaleNormal="148" workbookViewId="0">
      <selection activeCell="B22" sqref="B22"/>
    </sheetView>
  </sheetViews>
  <sheetFormatPr defaultRowHeight="15" x14ac:dyDescent="0.25"/>
  <cols>
    <col min="1" max="1" width="15.7109375" customWidth="1"/>
    <col min="2" max="2" width="11.7109375" customWidth="1"/>
    <col min="3" max="3" width="10.7109375" customWidth="1"/>
    <col min="4" max="4" width="19" customWidth="1"/>
    <col min="5" max="5" width="16.85546875" customWidth="1"/>
    <col min="6" max="6" width="12.42578125" customWidth="1"/>
    <col min="7" max="7" width="18.85546875" customWidth="1"/>
    <col min="8" max="8" width="9.7109375" customWidth="1"/>
    <col min="9" max="9" width="10.140625" customWidth="1"/>
    <col min="10" max="10" width="8.140625" customWidth="1"/>
  </cols>
  <sheetData>
    <row r="1" spans="1:9" ht="15.75" x14ac:dyDescent="0.25">
      <c r="A1" s="26" t="s">
        <v>107</v>
      </c>
    </row>
    <row r="2" spans="1:9" ht="26.25" x14ac:dyDescent="0.4">
      <c r="A2" s="105" t="s">
        <v>111</v>
      </c>
      <c r="B2" s="56"/>
      <c r="C2" s="56"/>
      <c r="D2" s="56"/>
      <c r="E2" s="55"/>
      <c r="F2" s="55"/>
    </row>
    <row r="3" spans="1:9" ht="18" x14ac:dyDescent="0.35">
      <c r="A3" t="s">
        <v>11</v>
      </c>
      <c r="F3" t="s">
        <v>18</v>
      </c>
      <c r="H3" t="s">
        <v>8</v>
      </c>
    </row>
    <row r="4" spans="1:9" ht="18.75" thickBot="1" x14ac:dyDescent="0.4">
      <c r="A4" s="101" t="s">
        <v>15</v>
      </c>
      <c r="B4" s="102">
        <f>dp</f>
        <v>20</v>
      </c>
      <c r="C4" s="101" t="s">
        <v>13</v>
      </c>
      <c r="D4" s="57"/>
      <c r="E4" s="57"/>
      <c r="F4" t="s">
        <v>9</v>
      </c>
      <c r="H4" s="9" t="s">
        <v>10</v>
      </c>
      <c r="I4" s="10" t="s">
        <v>4</v>
      </c>
    </row>
    <row r="5" spans="1:9" ht="15.75" thickBot="1" x14ac:dyDescent="0.3">
      <c r="A5" s="103" t="s">
        <v>16</v>
      </c>
      <c r="B5" s="104">
        <f>tlin</f>
        <v>7.9</v>
      </c>
      <c r="C5" s="103" t="s">
        <v>14</v>
      </c>
      <c r="D5" s="58" t="s">
        <v>90</v>
      </c>
      <c r="E5" s="59">
        <f>pdensity</f>
        <v>1109.8731219570868</v>
      </c>
      <c r="F5" t="s">
        <v>5</v>
      </c>
    </row>
    <row r="6" spans="1:9" x14ac:dyDescent="0.25">
      <c r="A6" s="53"/>
      <c r="B6" s="54"/>
      <c r="C6" s="53"/>
      <c r="D6" s="53"/>
      <c r="E6" s="53"/>
      <c r="G6" s="64"/>
      <c r="H6" s="64"/>
      <c r="I6" s="63"/>
    </row>
    <row r="7" spans="1:9" x14ac:dyDescent="0.25">
      <c r="A7" s="71" t="s">
        <v>37</v>
      </c>
      <c r="B7" s="72">
        <f>zpoint</f>
        <v>4</v>
      </c>
      <c r="C7" s="71" t="s">
        <v>26</v>
      </c>
      <c r="D7" s="71"/>
      <c r="E7" s="72"/>
    </row>
    <row r="8" spans="1:9" ht="18.75" x14ac:dyDescent="0.35">
      <c r="A8" s="6" t="s">
        <v>12</v>
      </c>
      <c r="B8" s="7">
        <f>9.81*POWER(B5,2)/2/PI()</f>
        <v>97.441356583962502</v>
      </c>
      <c r="C8" s="6" t="s">
        <v>13</v>
      </c>
      <c r="F8" t="s">
        <v>17</v>
      </c>
    </row>
    <row r="9" spans="1:9" ht="18" x14ac:dyDescent="0.35">
      <c r="A9" s="2" t="s">
        <v>7</v>
      </c>
      <c r="B9" s="2">
        <f>B4/B8</f>
        <v>0.20525165803461035</v>
      </c>
      <c r="D9" s="5" t="s">
        <v>0</v>
      </c>
      <c r="E9" s="5" t="s">
        <v>19</v>
      </c>
    </row>
    <row r="10" spans="1:9" x14ac:dyDescent="0.25">
      <c r="A10" s="3" t="s">
        <v>1</v>
      </c>
      <c r="B10" s="4" t="s">
        <v>2</v>
      </c>
      <c r="C10" s="4" t="s">
        <v>3</v>
      </c>
      <c r="D10" s="14">
        <f>B4/B8</f>
        <v>0.20525165803461035</v>
      </c>
      <c r="E10" s="5">
        <v>0</v>
      </c>
      <c r="F10" s="3" t="s">
        <v>6</v>
      </c>
    </row>
    <row r="11" spans="1:9" x14ac:dyDescent="0.25">
      <c r="A11" s="11">
        <f>D10</f>
        <v>0.20525165803461035</v>
      </c>
      <c r="B11" s="1">
        <f t="shared" ref="B11:B20" si="0">A11*TANH(2*PI()*A11)-$B$9</f>
        <v>-2.893418152396246E-2</v>
      </c>
      <c r="C11" s="1">
        <f>TANH(2*PI()*A11)+2*PI()*A11/POWER((COSH(2*PI()*A11)),2)</f>
        <v>1.1970003014091084</v>
      </c>
      <c r="D11" s="15">
        <f>A11-B11/C11</f>
        <v>0.22942390050597911</v>
      </c>
      <c r="E11" s="5">
        <f t="shared" ref="E11:E20" si="1">E10+1</f>
        <v>1</v>
      </c>
      <c r="F11" s="8">
        <f t="shared" ref="F11:F20" si="2">$B$4/D11</f>
        <v>87.174875659821552</v>
      </c>
    </row>
    <row r="12" spans="1:9" x14ac:dyDescent="0.25">
      <c r="A12" s="11">
        <f t="shared" ref="A12:A20" si="3">D11</f>
        <v>0.22942390050597911</v>
      </c>
      <c r="B12" s="1">
        <f t="shared" si="0"/>
        <v>-1.4626304373602239E-4</v>
      </c>
      <c r="C12" s="1">
        <f t="shared" ref="C12:C20" si="4">TANH(2*PI()*A12)+2*PI()*A12/POWER((COSH(2*PI()*A12)),2)</f>
        <v>1.1834009496603641</v>
      </c>
      <c r="D12" s="15">
        <f t="shared" ref="D12:D20" si="5">A12-B12/C12</f>
        <v>0.22954749601583399</v>
      </c>
      <c r="E12" s="5">
        <f t="shared" si="1"/>
        <v>2</v>
      </c>
      <c r="F12" s="8">
        <f t="shared" si="2"/>
        <v>87.127937995979778</v>
      </c>
    </row>
    <row r="13" spans="1:9" x14ac:dyDescent="0.25">
      <c r="A13" s="11">
        <f t="shared" si="3"/>
        <v>0.22954749601583399</v>
      </c>
      <c r="B13" s="1">
        <f t="shared" si="0"/>
        <v>-5.5666379561447599E-9</v>
      </c>
      <c r="C13" s="1">
        <f t="shared" si="4"/>
        <v>1.1833108444699385</v>
      </c>
      <c r="D13" s="15">
        <f t="shared" si="5"/>
        <v>0.22954750072012448</v>
      </c>
      <c r="E13" s="5">
        <f t="shared" si="1"/>
        <v>3</v>
      </c>
      <c r="F13" s="8">
        <f t="shared" si="2"/>
        <v>87.127936210401074</v>
      </c>
    </row>
    <row r="14" spans="1:9" x14ac:dyDescent="0.25">
      <c r="A14" s="11">
        <f t="shared" si="3"/>
        <v>0.22954750072012448</v>
      </c>
      <c r="B14" s="1">
        <f t="shared" si="0"/>
        <v>0</v>
      </c>
      <c r="C14" s="1">
        <f t="shared" si="4"/>
        <v>1.1833108410372901</v>
      </c>
      <c r="D14" s="15">
        <f t="shared" si="5"/>
        <v>0.22954750072012448</v>
      </c>
      <c r="E14" s="5">
        <f t="shared" si="1"/>
        <v>4</v>
      </c>
      <c r="F14" s="8">
        <f t="shared" si="2"/>
        <v>87.127936210401074</v>
      </c>
    </row>
    <row r="15" spans="1:9" x14ac:dyDescent="0.25">
      <c r="A15" s="11">
        <f t="shared" si="3"/>
        <v>0.22954750072012448</v>
      </c>
      <c r="B15" s="1">
        <f t="shared" si="0"/>
        <v>0</v>
      </c>
      <c r="C15" s="1">
        <f t="shared" si="4"/>
        <v>1.1833108410372901</v>
      </c>
      <c r="D15" s="15">
        <f t="shared" si="5"/>
        <v>0.22954750072012448</v>
      </c>
      <c r="E15" s="5">
        <f t="shared" si="1"/>
        <v>5</v>
      </c>
      <c r="F15" s="8">
        <f t="shared" si="2"/>
        <v>87.127936210401074</v>
      </c>
    </row>
    <row r="16" spans="1:9" x14ac:dyDescent="0.25">
      <c r="A16" s="11">
        <f t="shared" si="3"/>
        <v>0.22954750072012448</v>
      </c>
      <c r="B16" s="1">
        <f t="shared" si="0"/>
        <v>0</v>
      </c>
      <c r="C16" s="1">
        <f t="shared" si="4"/>
        <v>1.1833108410372901</v>
      </c>
      <c r="D16" s="15">
        <f t="shared" si="5"/>
        <v>0.22954750072012448</v>
      </c>
      <c r="E16" s="5">
        <f t="shared" si="1"/>
        <v>6</v>
      </c>
      <c r="F16" s="8">
        <f t="shared" si="2"/>
        <v>87.127936210401074</v>
      </c>
    </row>
    <row r="17" spans="1:7" x14ac:dyDescent="0.25">
      <c r="A17" s="11">
        <f t="shared" si="3"/>
        <v>0.22954750072012448</v>
      </c>
      <c r="B17" s="1">
        <f t="shared" si="0"/>
        <v>0</v>
      </c>
      <c r="C17" s="1">
        <f t="shared" si="4"/>
        <v>1.1833108410372901</v>
      </c>
      <c r="D17" s="15">
        <f t="shared" si="5"/>
        <v>0.22954750072012448</v>
      </c>
      <c r="E17" s="5">
        <f t="shared" si="1"/>
        <v>7</v>
      </c>
      <c r="F17" s="8">
        <f t="shared" si="2"/>
        <v>87.127936210401074</v>
      </c>
    </row>
    <row r="18" spans="1:7" x14ac:dyDescent="0.25">
      <c r="A18" s="11">
        <f t="shared" si="3"/>
        <v>0.22954750072012448</v>
      </c>
      <c r="B18" s="1">
        <f t="shared" si="0"/>
        <v>0</v>
      </c>
      <c r="C18" s="1">
        <f t="shared" si="4"/>
        <v>1.1833108410372901</v>
      </c>
      <c r="D18" s="15">
        <f t="shared" si="5"/>
        <v>0.22954750072012448</v>
      </c>
      <c r="E18" s="5">
        <f t="shared" si="1"/>
        <v>8</v>
      </c>
      <c r="F18" s="8">
        <f t="shared" si="2"/>
        <v>87.127936210401074</v>
      </c>
    </row>
    <row r="19" spans="1:7" x14ac:dyDescent="0.25">
      <c r="A19" s="11">
        <f t="shared" si="3"/>
        <v>0.22954750072012448</v>
      </c>
      <c r="B19" s="1">
        <f t="shared" si="0"/>
        <v>0</v>
      </c>
      <c r="C19" s="1">
        <f t="shared" si="4"/>
        <v>1.1833108410372901</v>
      </c>
      <c r="D19" s="15">
        <f t="shared" si="5"/>
        <v>0.22954750072012448</v>
      </c>
      <c r="E19" s="5">
        <f t="shared" si="1"/>
        <v>9</v>
      </c>
      <c r="F19" s="8">
        <f t="shared" si="2"/>
        <v>87.127936210401074</v>
      </c>
    </row>
    <row r="20" spans="1:7" ht="15.75" thickBot="1" x14ac:dyDescent="0.3">
      <c r="A20" s="12">
        <f t="shared" si="3"/>
        <v>0.22954750072012448</v>
      </c>
      <c r="B20" s="2">
        <f t="shared" si="0"/>
        <v>0</v>
      </c>
      <c r="C20" s="2">
        <f t="shared" si="4"/>
        <v>1.1833108410372901</v>
      </c>
      <c r="D20" s="66">
        <f t="shared" si="5"/>
        <v>0.22954750072012448</v>
      </c>
      <c r="E20" s="67">
        <f t="shared" si="1"/>
        <v>10</v>
      </c>
      <c r="F20" s="68">
        <f t="shared" si="2"/>
        <v>87.127936210401074</v>
      </c>
    </row>
    <row r="21" spans="1:7" ht="15.75" thickBot="1" x14ac:dyDescent="0.3">
      <c r="A21" s="17" t="s">
        <v>21</v>
      </c>
      <c r="B21" s="18">
        <f>$B$4/D20</f>
        <v>87.127936210401074</v>
      </c>
      <c r="C21" s="65" t="s">
        <v>13</v>
      </c>
      <c r="D21" s="76" t="s">
        <v>106</v>
      </c>
      <c r="E21" s="77"/>
      <c r="F21" s="77"/>
      <c r="G21" s="78"/>
    </row>
    <row r="22" spans="1:7" ht="15.75" thickBot="1" x14ac:dyDescent="0.3">
      <c r="A22" s="13" t="s">
        <v>22</v>
      </c>
      <c r="B22" s="16">
        <f>B21/B5</f>
        <v>11.028852684860896</v>
      </c>
      <c r="C22" s="69" t="s">
        <v>20</v>
      </c>
      <c r="D22" s="75" t="s">
        <v>100</v>
      </c>
    </row>
    <row r="23" spans="1:7" ht="15.75" thickBot="1" x14ac:dyDescent="0.3">
      <c r="A23" s="19" t="s">
        <v>23</v>
      </c>
      <c r="B23" s="20">
        <f>0.5*(1+4*PI()*D20/SINH(4*PI()*D20))*B22</f>
        <v>7.2976844057710855</v>
      </c>
      <c r="C23" s="70" t="s">
        <v>20</v>
      </c>
      <c r="D23" s="74" t="s">
        <v>100</v>
      </c>
    </row>
    <row r="24" spans="1:7" ht="15.75" thickBot="1" x14ac:dyDescent="0.3"/>
    <row r="25" spans="1:7" ht="15.75" thickBot="1" x14ac:dyDescent="0.3">
      <c r="E25" s="61" t="s">
        <v>32</v>
      </c>
      <c r="F25" s="62">
        <f>2*PI()/F20</f>
        <v>7.2114474191224076E-2</v>
      </c>
    </row>
    <row r="26" spans="1:7" ht="15.75" thickBot="1" x14ac:dyDescent="0.3">
      <c r="A26" s="86" t="s">
        <v>101</v>
      </c>
      <c r="B26" s="87">
        <f>hs</f>
        <v>11</v>
      </c>
      <c r="C26" s="88" t="s">
        <v>26</v>
      </c>
    </row>
    <row r="27" spans="1:7" ht="15.75" thickBot="1" x14ac:dyDescent="0.3">
      <c r="A27" s="82" t="s">
        <v>105</v>
      </c>
      <c r="B27" s="83">
        <f>0.5*$B$26*9.81*tlin/Lp*COSH(2*PI()*(-zaxis+dp)/Lp)/COSH(2*PI()*dp/Lp)</f>
        <v>3.8177235514862375</v>
      </c>
      <c r="C27" s="79" t="s">
        <v>20</v>
      </c>
      <c r="D27" s="80" t="s">
        <v>40</v>
      </c>
      <c r="E27" s="81">
        <f>0.5*HRMS*9.81*tlin/Lp</f>
        <v>4.8921679835349554</v>
      </c>
      <c r="F27" s="28" t="s">
        <v>41</v>
      </c>
      <c r="G27" s="29">
        <f>E27/B22</f>
        <v>0.44357904882076671</v>
      </c>
    </row>
    <row r="28" spans="1:7" ht="15.75" thickBot="1" x14ac:dyDescent="0.3">
      <c r="A28" t="s">
        <v>24</v>
      </c>
      <c r="B28" s="21">
        <v>1025</v>
      </c>
      <c r="C28" t="s">
        <v>27</v>
      </c>
      <c r="D28" s="25" t="s">
        <v>39</v>
      </c>
      <c r="E28" s="27">
        <f>F25*B4</f>
        <v>1.4422894838244815</v>
      </c>
      <c r="F28" s="25" t="s">
        <v>38</v>
      </c>
      <c r="G28" s="27">
        <f>TANH(E28)</f>
        <v>0.89415766841592925</v>
      </c>
    </row>
    <row r="29" spans="1:7" ht="15.75" thickBot="1" x14ac:dyDescent="0.3">
      <c r="A29" s="82" t="s">
        <v>25</v>
      </c>
      <c r="B29" s="84">
        <f>rho*POWER(HRMS,2)*9.81*B23/1000/8</f>
        <v>1109.8731219570868</v>
      </c>
      <c r="C29" s="85" t="s">
        <v>28</v>
      </c>
      <c r="E29" s="89" t="s">
        <v>31</v>
      </c>
      <c r="F29" s="90">
        <f>1/COSH(kd)</f>
        <v>0.44775223507313638</v>
      </c>
    </row>
    <row r="30" spans="1:7" ht="15.75" thickBot="1" x14ac:dyDescent="0.3">
      <c r="E30" s="91" t="s">
        <v>35</v>
      </c>
      <c r="F30" s="92">
        <f>F32+rho*9.81*HRMS/2*F29</f>
        <v>225867.43363945535</v>
      </c>
    </row>
    <row r="31" spans="1:7" x14ac:dyDescent="0.25">
      <c r="A31" s="95" t="s">
        <v>30</v>
      </c>
      <c r="B31" s="96">
        <f>B8/B5</f>
        <v>12.334348934678797</v>
      </c>
      <c r="C31" s="97" t="s">
        <v>20</v>
      </c>
      <c r="E31" s="91" t="s">
        <v>34</v>
      </c>
      <c r="F31" s="92">
        <f>F32-rho*9.81*HRMS/2*F29</f>
        <v>176342.56636054465</v>
      </c>
    </row>
    <row r="32" spans="1:7" ht="15.75" thickBot="1" x14ac:dyDescent="0.3">
      <c r="A32" s="98" t="s">
        <v>29</v>
      </c>
      <c r="B32" s="99">
        <f>HRMS*SQRT(2*B23/B31)</f>
        <v>11.96581011739331</v>
      </c>
      <c r="C32" s="100" t="s">
        <v>26</v>
      </c>
      <c r="E32" s="93" t="s">
        <v>36</v>
      </c>
      <c r="F32" s="94">
        <f>rho*9.81*dp</f>
        <v>201105</v>
      </c>
    </row>
    <row r="33" spans="2:26" x14ac:dyDescent="0.25">
      <c r="F33" s="23"/>
    </row>
    <row r="34" spans="2:26" x14ac:dyDescent="0.25">
      <c r="F34" s="23"/>
    </row>
    <row r="35" spans="2:26" x14ac:dyDescent="0.25">
      <c r="B35" s="22"/>
      <c r="F35" s="23"/>
    </row>
    <row r="41" spans="2:26" x14ac:dyDescent="0.25">
      <c r="V41" s="24"/>
      <c r="W41" s="24"/>
      <c r="X41" s="24"/>
      <c r="Y41" s="24"/>
      <c r="Z41" s="2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59</vt:i4>
      </vt:variant>
    </vt:vector>
  </HeadingPairs>
  <TitlesOfParts>
    <vt:vector size="61" baseType="lpstr">
      <vt:lpstr>Sheet1</vt:lpstr>
      <vt:lpstr>Sheet2</vt:lpstr>
      <vt:lpstr>a_1</vt:lpstr>
      <vt:lpstr>A_11</vt:lpstr>
      <vt:lpstr>a_2</vt:lpstr>
      <vt:lpstr>A_22</vt:lpstr>
      <vt:lpstr>a_3</vt:lpstr>
      <vt:lpstr>A_31</vt:lpstr>
      <vt:lpstr>A_33</vt:lpstr>
      <vt:lpstr>a_4</vt:lpstr>
      <vt:lpstr>A_42</vt:lpstr>
      <vt:lpstr>A_44</vt:lpstr>
      <vt:lpstr>a_5</vt:lpstr>
      <vt:lpstr>A_51</vt:lpstr>
      <vt:lpstr>A_53</vt:lpstr>
      <vt:lpstr>A_55</vt:lpstr>
      <vt:lpstr>b_1</vt:lpstr>
      <vt:lpstr>b_2</vt:lpstr>
      <vt:lpstr>b_22</vt:lpstr>
      <vt:lpstr>b_3</vt:lpstr>
      <vt:lpstr>b_31</vt:lpstr>
      <vt:lpstr>b_4</vt:lpstr>
      <vt:lpstr>b_42</vt:lpstr>
      <vt:lpstr>b_44</vt:lpstr>
      <vt:lpstr>b_5</vt:lpstr>
      <vt:lpstr>b_53</vt:lpstr>
      <vt:lpstr>b_55</vt:lpstr>
      <vt:lpstr>C_</vt:lpstr>
      <vt:lpstr>C_2</vt:lpstr>
      <vt:lpstr>C_4</vt:lpstr>
      <vt:lpstr>C_o</vt:lpstr>
      <vt:lpstr>CC</vt:lpstr>
      <vt:lpstr>Clin</vt:lpstr>
      <vt:lpstr>cpow</vt:lpstr>
      <vt:lpstr>CW</vt:lpstr>
      <vt:lpstr>dp</vt:lpstr>
      <vt:lpstr>Dt</vt:lpstr>
      <vt:lpstr>Dtlin</vt:lpstr>
      <vt:lpstr>ep</vt:lpstr>
      <vt:lpstr>HRMS</vt:lpstr>
      <vt:lpstr>hs</vt:lpstr>
      <vt:lpstr>k</vt:lpstr>
      <vt:lpstr>kd</vt:lpstr>
      <vt:lpstr>ktol</vt:lpstr>
      <vt:lpstr>kz</vt:lpstr>
      <vt:lpstr>Lp</vt:lpstr>
      <vt:lpstr>omega_lin</vt:lpstr>
      <vt:lpstr>pdensity</vt:lpstr>
      <vt:lpstr>rho</vt:lpstr>
      <vt:lpstr>rt</vt:lpstr>
      <vt:lpstr>S</vt:lpstr>
      <vt:lpstr>tlin</vt:lpstr>
      <vt:lpstr>tmr</vt:lpstr>
      <vt:lpstr>Tp</vt:lpstr>
      <vt:lpstr>uc</vt:lpstr>
      <vt:lpstr>um</vt:lpstr>
      <vt:lpstr>umax</vt:lpstr>
      <vt:lpstr>x</vt:lpstr>
      <vt:lpstr>xpoint</vt:lpstr>
      <vt:lpstr>zaxis</vt:lpstr>
      <vt:lpstr>zpoint</vt:lpstr>
    </vt:vector>
  </TitlesOfParts>
  <Company>The University of Texas at Austin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Kinnas, Spyros A</dc:creator>
  <cp:lastModifiedBy>Kinnas, Spyros A</cp:lastModifiedBy>
  <cp:lastPrinted>2015-10-01T15:02:19Z</cp:lastPrinted>
  <dcterms:created xsi:type="dcterms:W3CDTF">2015-10-01T13:49:29Z</dcterms:created>
  <dcterms:modified xsi:type="dcterms:W3CDTF">2017-12-06T16:22:37Z</dcterms:modified>
</cp:coreProperties>
</file>